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91" windowWidth="12120" windowHeight="9120" activeTab="0"/>
  </bookViews>
  <sheets>
    <sheet name="EF-INDIV1" sheetId="1" r:id="rId1"/>
  </sheets>
  <definedNames/>
  <calcPr fullCalcOnLoad="1"/>
</workbook>
</file>

<file path=xl/comments1.xml><?xml version="1.0" encoding="utf-8"?>
<comments xmlns="http://schemas.openxmlformats.org/spreadsheetml/2006/main">
  <authors>
    <author>A satisfied Microsoft Office user</author>
    <author>Richardson</author>
  </authors>
  <commentList>
    <comment ref="B3" authorId="0">
      <text>
        <r>
          <rPr>
            <sz val="8"/>
            <rFont val="Tahoma"/>
            <family val="0"/>
          </rPr>
          <t>The life-energy accounting is taken from Joe Dominguez and Vicki Robin, 1992. Your Money or Your Life. Penguin, New York.
It shows why consuming less can increase our quality of life since it frees time we otherwise needed to work to pay for our consumption.
Wow - we may end up living better on a smaller footprint!</t>
        </r>
      </text>
    </comment>
    <comment ref="C4" authorId="0">
      <text>
        <r>
          <rPr>
            <sz val="8"/>
            <rFont val="Tahoma"/>
            <family val="0"/>
          </rPr>
          <t>Fill in the amounts for one individual or the entire household. If you put the income of the household, also add up the weekly working hours of all the members of the household.
The life energy spent per dollar is calculated automatically and shown in cell e4.</t>
        </r>
      </text>
    </comment>
    <comment ref="F14" authorId="0">
      <text>
        <r>
          <rPr>
            <sz val="8"/>
            <rFont val="Tahoma"/>
            <family val="0"/>
          </rPr>
          <t>Enter in this column your monthly expenditure in each category</t>
        </r>
      </text>
    </comment>
    <comment ref="I28" authorId="0">
      <text>
        <r>
          <rPr>
            <sz val="8"/>
            <rFont val="Tahoma"/>
            <family val="0"/>
          </rPr>
          <t>Grass fed beef compared to grain fed beef: the grain fed beef spends much of it's life on grass before it goes into the feedlot. Therefore, we assume that about 65-75% of the pasture for grass fed beef still should be "charged" against grain fed beef. The great difference, of course, is the omission of grain, but the  comparison still should be larger by the amount of pasture needed for growing the animal until it goes into the feed lot.
In reality, the time in the feedlot still depends on hay, which is harvested from pasture in many cases, and a case may be made that this is even more energetically expensive because of the haying and hauling operations. 
For more realistic data, a lifecycle analysis of both pasture fed and grain fed cattle is necessary.
Note that it is also possible to use the cattle in ecological restoration programs, and then be consumed after their use as a "tool" is fulfilled. This effectively would put the livestock into a category that increases the "wildlife" resources, comparable to line 45. While this is rarely true today, it is an aspect of humans living synergistically with other species and compatibly with healthy ecosystems. The trade-off would be between human consumption and consumption by carnivores or other omnivores. Of course, the resources used in meat processing, distribution and preparation for human consumption would remain as an ecological footprint component.</t>
        </r>
      </text>
    </comment>
    <comment ref="C31" authorId="0">
      <text>
        <r>
          <rPr>
            <sz val="8"/>
            <rFont val="Tahoma"/>
            <family val="0"/>
          </rPr>
          <t>A standard bottle of wine contains 0.75 liters or 0.75/1.06 =  0.7 quarts</t>
        </r>
      </text>
    </comment>
    <comment ref="G43" authorId="0">
      <text>
        <r>
          <rPr>
            <sz val="8"/>
            <rFont val="Tahoma"/>
            <family val="0"/>
          </rPr>
          <t>The life-cycle embodied energy of a Canadian standard house with 350 square meters living space adds up to 1'310 Gj (Canadian Mortgage and Housing Corporation, OPTIMIZE, 1991, researched by Sheltair). Life-expectency of a brick building may be 70 years.
The standard house is to a significant part a wood based construction. However, once redoing the calculation for a brick based construction, the embodied energy content comes to about the same.</t>
        </r>
      </text>
    </comment>
    <comment ref="G44" authorId="0">
      <text>
        <r>
          <rPr>
            <sz val="8"/>
            <rFont val="Tahoma"/>
            <family val="0"/>
          </rPr>
          <t>The life-cycle embodied energy of a Canadian standard house with 350 square meters living space adds up to 1'310 Gj (Canadian Mortgage and Housing Corporation, OPTIMIZE, 1991, researched by Sheltair). Life-expectency of the house is 40 years.</t>
        </r>
      </text>
    </comment>
    <comment ref="J44" authorId="0">
      <text>
        <r>
          <rPr>
            <sz val="8"/>
            <rFont val="Tahoma"/>
            <family val="0"/>
          </rPr>
          <t>An average Canadian house uses 23.6 m3 of wood and may last 40 years (Government of Canada, 1991. The State of Canada's Environment. Ministry of Environment, Ottawa). The house may contain 150 m2 of living space. 1.48/10000 is the roundwood productivity, 2 is the ratio of roundwood needed per unit of construction wood. 
Another estimate from the Canadian Mortgage and Housing Corporation (OPTIMIZE, 1991) shows the use of over 50 m3 roundwood equivalent for a 350 m2 house.</t>
        </r>
      </text>
    </comment>
    <comment ref="B45" authorId="0">
      <text>
        <r>
          <rPr>
            <sz val="8"/>
            <rFont val="Tahoma"/>
            <family val="0"/>
          </rPr>
          <t>True wilderness areas which are part of somebody's property or "garden" is not counted as an additional footprint as it is a biodiveristy area in service of humanity as a whole.</t>
        </r>
      </text>
    </comment>
    <comment ref="G51" authorId="0">
      <text>
        <r>
          <rPr>
            <sz val="8"/>
            <rFont val="Tahoma"/>
            <family val="0"/>
          </rPr>
          <t>Average growing forests can absorb 93 gj/ha/yr
 1 m3 of gas contains the energy of 8.905 Mcal corresponding to 4.184 more Mj
0.3048^3 translates m3 into cubic feet
R. H. Richardson comes to a different conclusion:
Austin natural gas produces 3.14 lbs. carbon per CCF. Assuming that an average forest accumulates 3600 lbs/hectare per year, each CCF burned methane requires 8.7 square meters per year.
alternative:
1CCF (hundred cubic feet) methane produces 100,000 Btu, 8,600 Btu produces 1 lb Carbon dioxide, 1CCF methane produces 11.6 lbs carbon dioxide, or 3.132 pounds of Carbon. A boreal forest sequesters 3,600 lbs of carbon/ha/yr. 1CCF methane needs .00092 ha/yr. or 9.2 meter-square per CCF per year</t>
        </r>
      </text>
    </comment>
    <comment ref="G52" authorId="0">
      <text>
        <r>
          <rPr>
            <sz val="8"/>
            <rFont val="Tahoma"/>
            <family val="0"/>
          </rPr>
          <t xml:space="preserve">The fossil gas footprint is 93 Gj per 10,000 m2 and year.
One kg of gas may contain about 40 Mj/kg. (find better data!)
</t>
        </r>
      </text>
    </comment>
    <comment ref="G55" authorId="0">
      <text>
        <r>
          <rPr>
            <sz val="8"/>
            <rFont val="Tahoma"/>
            <family val="0"/>
          </rPr>
          <t xml:space="preserve">The average fossil fuel footprint is 71 Gj per 10,000 m2 and year.
It takes 35 Mj/kg to produce oil.
One liter weighs 0.8 kg/l.
</t>
        </r>
      </text>
    </comment>
    <comment ref="J56" authorId="0">
      <text>
        <r>
          <rPr>
            <sz val="8"/>
            <rFont val="Tahoma"/>
            <family val="0"/>
          </rPr>
          <t>In humid areas (like the ones around Xalapa), forests can generate in springs about 1'500 m3 of fresh water per hectare and year. Pastures, in contrast, only generate one tenth of this amount. This at a precipitation level of 15'000 m3 per hectare and year (Secretaría de Desarollo Agropecuario y Pescua, SEDAP, Xalapa 1998).
However, in places like British Columbia, this water use may be a secondary function of forest use. In Xalapa, however, at the margin, this water production becomes the primary use of the forest area - therefore it needs to be added to the footprint.</t>
        </r>
      </text>
    </comment>
    <comment ref="H57" authorId="0">
      <text>
        <r>
          <rPr>
            <sz val="8"/>
            <rFont val="Tahoma"/>
            <family val="0"/>
          </rPr>
          <t>Straw is calculated at the rate the removed biomass can be replaced (to make sure there is no nutrient loss on the field the straw is grown). As a first approximation, we use cereals biomass productivity as a proxy of bioproductivity potential. On world average land, this productivity is approximately the double of the cereal harvest. Hence, the productivity is 2 * 2744 kg  per 10'000 m2 and year.</t>
        </r>
      </text>
    </comment>
    <comment ref="J58" authorId="0">
      <text>
        <r>
          <rPr>
            <sz val="8"/>
            <rFont val="Tahoma"/>
            <family val="0"/>
          </rPr>
          <t>World average forest yield is 1.99 m3 per 10'000 m2 and year. 
600 kg/m3 is the average wood denisty.
0.53 is the waste factor for fire wood. It means that for each kg of firewod one needs 0.53 kg of roundwood. In this category, the waste factor is significantly smaller than 1 since about twice as much fire wood than roundwood can be produced per m2 and year.</t>
        </r>
      </text>
    </comment>
    <comment ref="G65" authorId="0">
      <text>
        <r>
          <rPr>
            <sz val="8"/>
            <rFont val="Tahoma"/>
            <family val="0"/>
          </rPr>
          <t>71000 Mj /10000 m2 and year is the conversion ratio for fossil fuel to get the area necesary for the CO2 absorption.
35 Mj/l is the energy content of fossil fuel.
1.5 corresponds to the indirect energy consumption of car use. About 15 percent is additional energy to build the car, and 35 additional percent to build and maintain the road infrastructure. Together, ths adds up to 50 percent  or 1.5 times more.</t>
        </r>
      </text>
    </comment>
    <comment ref="B83" authorId="0">
      <text>
        <r>
          <rPr>
            <sz val="8"/>
            <rFont val="Tahoma"/>
            <family val="0"/>
          </rPr>
          <t>moved to line below</t>
        </r>
      </text>
    </comment>
    <comment ref="B95" authorId="0">
      <text>
        <r>
          <rPr>
            <sz val="8"/>
            <rFont val="Tahoma"/>
            <family val="0"/>
          </rPr>
          <t>The washing in the household is already accounted for through the energy use of the household, the detergents being purchased and through the water use (which is not accounted for very effectively in this spread sheet). Counting all washing here would lead to double counting.</t>
        </r>
      </text>
    </comment>
    <comment ref="B96" authorId="0">
      <text>
        <r>
          <rPr>
            <sz val="8"/>
            <rFont val="Tahoma"/>
            <family val="0"/>
          </rPr>
          <t>This line only covers the transportation energy of mal. The paper content is acounted for separately in the paper line. Note: count only all the mail you send out or all the mail you receive, otherwise it leads to double counting.</t>
        </r>
      </text>
    </comment>
    <comment ref="G108" authorId="0">
      <text>
        <r>
          <rPr>
            <sz val="8"/>
            <rFont val="Tahoma"/>
            <family val="0"/>
          </rPr>
          <t>The energy yield (assumed to be average fossil fuel = liquid fossil fuel) us 71000 Mj/ 10000 m2 and year.
Paper has an energy intensity of 30 Mj/kg
D104 gives the yearly quanitity of paper consumed 
(1-C102/100*0.5) calcualtes to what extent energy is recuperated. C102 gives the percentage of recycling in the household; 0.5 gives a guestimate of the percentage of energy that can be saved through recycling.</t>
        </r>
      </text>
    </comment>
    <comment ref="P121" authorId="0">
      <text>
        <r>
          <rPr>
            <sz val="8"/>
            <rFont val="Tahoma"/>
            <family val="0"/>
          </rPr>
          <t>This table shows the primary biomass equivalence factors. The ratio between them represents their relative capacity to produce biomass. In addition they are scaled by a factor that keeps the per capita global capacity constant. A factor 2.9 would mean that this ecological category is 2.9 times more productive than world average (bio-productive) land.</t>
        </r>
      </text>
    </comment>
    <comment ref="Q121" authorId="0">
      <text>
        <r>
          <rPr>
            <sz val="8"/>
            <rFont val="Tahoma"/>
            <family val="0"/>
          </rPr>
          <t xml:space="preserve">These figures represent the areas of occupied ecologically productive space just added up. </t>
        </r>
      </text>
    </comment>
    <comment ref="E131" authorId="0">
      <text>
        <r>
          <rPr>
            <sz val="8"/>
            <rFont val="Tahoma"/>
            <family val="0"/>
          </rPr>
          <t>One hectare contains 10'000 squaremeters or 2.47 acres.</t>
        </r>
      </text>
    </comment>
    <comment ref="B35" authorId="1">
      <text>
        <r>
          <rPr>
            <b/>
            <sz val="8"/>
            <rFont val="Tahoma"/>
            <family val="0"/>
          </rPr>
          <t>Richardson:</t>
        </r>
        <r>
          <rPr>
            <sz val="8"/>
            <rFont val="Tahoma"/>
            <family val="0"/>
          </rPr>
          <t xml:space="preserve">
Ounces might be a better unit for many people.</t>
        </r>
      </text>
    </comment>
    <comment ref="B36" authorId="1">
      <text>
        <r>
          <rPr>
            <sz val="8"/>
            <rFont val="Tahoma"/>
            <family val="0"/>
          </rPr>
          <t xml:space="preserve">unces would be more appropriate (tea bags and instant coffee, especially) </t>
        </r>
      </text>
    </comment>
    <comment ref="B84" authorId="1">
      <text>
        <r>
          <rPr>
            <sz val="8"/>
            <rFont val="Tahoma"/>
            <family val="0"/>
          </rPr>
          <t>This line includes all paper that you use, including free and paid for newspapers, the mail and advertizing you receive, household paper, wrapping paper etc.</t>
        </r>
      </text>
    </comment>
  </commentList>
</comments>
</file>

<file path=xl/sharedStrings.xml><?xml version="1.0" encoding="utf-8"?>
<sst xmlns="http://schemas.openxmlformats.org/spreadsheetml/2006/main" count="218" uniqueCount="168">
  <si>
    <t>Assess your Household's Ecological Footprint</t>
  </si>
  <si>
    <t>by Mathis Wackernagel and Dick Richardson</t>
  </si>
  <si>
    <t>First, (and optional) calculate how many minutes of life energy it takes to earn one dollar. (Enter your income and hours spent)</t>
  </si>
  <si>
    <t>Fulfillment:</t>
  </si>
  <si>
    <t>Did I get fulfillment from this expenditure of life energy?</t>
  </si>
  <si>
    <t>dollars earned per month (after taxes)</t>
  </si>
  <si>
    <t>hours of work per week</t>
  </si>
  <si>
    <t xml:space="preserve">Alignement: </t>
  </si>
  <si>
    <t>Was this expenditure of life energy in alignement</t>
  </si>
  <si>
    <t xml:space="preserve">work related dollars spent per month </t>
  </si>
  <si>
    <t>unpaid hours per week for work preparation (commuting etc.)</t>
  </si>
  <si>
    <t>with my stated life purpose?</t>
  </si>
  <si>
    <t>It takes</t>
  </si>
  <si>
    <t>minutes of life energy to spend one dollar!</t>
  </si>
  <si>
    <t>After FI:</t>
  </si>
  <si>
    <t>How much might I spend if I didn't have to work for a living?</t>
  </si>
  <si>
    <t xml:space="preserve">+ : </t>
  </si>
  <si>
    <t xml:space="preserve">increase for more fulfillment;    0 : </t>
  </si>
  <si>
    <t>- :</t>
  </si>
  <si>
    <t xml:space="preserve">decrease for more fulfillment;  </t>
  </si>
  <si>
    <t>Second, choose whether you want to work with metric or US measurements.</t>
  </si>
  <si>
    <t>s</t>
  </si>
  <si>
    <t>: put "m" for metric, "s" for US standard</t>
  </si>
  <si>
    <t>0 :</t>
  </si>
  <si>
    <t>O.K. as is</t>
  </si>
  <si>
    <t>Third, register your monthly consumption in column D (or your yearly consumption in column E).</t>
  </si>
  <si>
    <t>Footprint Calculation Matrix for Households</t>
  </si>
  <si>
    <t xml:space="preserve">           page #1 of 2</t>
  </si>
  <si>
    <t>monthly</t>
  </si>
  <si>
    <t>Number of people in the household:</t>
  </si>
  <si>
    <t>(land and sea space in square meters)</t>
  </si>
  <si>
    <t xml:space="preserve">hours of </t>
  </si>
  <si>
    <t>Fulfillment</t>
  </si>
  <si>
    <t>Alignment</t>
  </si>
  <si>
    <t xml:space="preserve"> After FI</t>
  </si>
  <si>
    <t xml:space="preserve"> AMOUNT</t>
  </si>
  <si>
    <t>eqv. amount</t>
  </si>
  <si>
    <t>Dollars</t>
  </si>
  <si>
    <t>A) FOSSIL</t>
  </si>
  <si>
    <t>B) ARABLE</t>
  </si>
  <si>
    <t>C) PASTURE</t>
  </si>
  <si>
    <t>D) FOREST</t>
  </si>
  <si>
    <t>E) BUILT-UP</t>
  </si>
  <si>
    <t>F) SEA</t>
  </si>
  <si>
    <t xml:space="preserve">life energy </t>
  </si>
  <si>
    <t>mark +, 0 or -</t>
  </si>
  <si>
    <t>CATEGORIES</t>
  </si>
  <si>
    <t>Units</t>
  </si>
  <si>
    <t>per month</t>
  </si>
  <si>
    <t xml:space="preserve"> per year</t>
  </si>
  <si>
    <t>spent (mth)</t>
  </si>
  <si>
    <t>ENERGY</t>
  </si>
  <si>
    <t>LAND</t>
  </si>
  <si>
    <t>1.-FOOD</t>
  </si>
  <si>
    <t>.Veggies, potatoes &amp; fruit</t>
  </si>
  <si>
    <t>.Bread</t>
  </si>
  <si>
    <t>.Rice, cereals, noodles, etc.</t>
  </si>
  <si>
    <t>.Beans</t>
  </si>
  <si>
    <t>.Milk &amp; yogurt</t>
  </si>
  <si>
    <t xml:space="preserve">.Cheese, butter </t>
  </si>
  <si>
    <t>.Eggs [assumed to be 50 g each]</t>
  </si>
  <si>
    <t>[number]</t>
  </si>
  <si>
    <t>.Meat</t>
  </si>
  <si>
    <t xml:space="preserve"> </t>
  </si>
  <si>
    <t xml:space="preserve">        ..Pork</t>
  </si>
  <si>
    <t xml:space="preserve">       ..Chicken, turkey</t>
  </si>
  <si>
    <t xml:space="preserve">       ..Beef (grain fed)</t>
  </si>
  <si>
    <t xml:space="preserve">       ..Beef (pasture fed)</t>
  </si>
  <si>
    <t>.Fish</t>
  </si>
  <si>
    <t>.Juice &amp; wine</t>
  </si>
  <si>
    <t>.Sugar</t>
  </si>
  <si>
    <t>.Oil &amp; fat</t>
  </si>
  <si>
    <t xml:space="preserve">     ..solid</t>
  </si>
  <si>
    <t xml:space="preserve">     ..liquid</t>
  </si>
  <si>
    <t>.Tea &amp; coffee</t>
  </si>
  <si>
    <t>.Garden [area used for food]</t>
  </si>
  <si>
    <t>.Eating out    [complete meals]</t>
  </si>
  <si>
    <t>SUB-TOTAL-1</t>
  </si>
  <si>
    <t>2.-HOUSING</t>
  </si>
  <si>
    <t>.House [living area]</t>
  </si>
  <si>
    <t>depending on design</t>
  </si>
  <si>
    <t xml:space="preserve">           ..brick house</t>
  </si>
  <si>
    <t xml:space="preserve">           ..wooden house (US standard)</t>
  </si>
  <si>
    <t>.Garden [m2 - not for food]</t>
  </si>
  <si>
    <t>.Electricity</t>
  </si>
  <si>
    <t xml:space="preserve">                ..thermic produced</t>
  </si>
  <si>
    <t>[kWh]</t>
  </si>
  <si>
    <t xml:space="preserve">                ..lower course hydro</t>
  </si>
  <si>
    <t xml:space="preserve">               ..high altitude hydro</t>
  </si>
  <si>
    <t xml:space="preserve">.Fossil gas ("natural gas")  </t>
  </si>
  <si>
    <t xml:space="preserve">                      ..city gas</t>
  </si>
  <si>
    <t xml:space="preserve">                      ..bottled liquid gas</t>
  </si>
  <si>
    <t>.Liquid fossil fuel (oil)</t>
  </si>
  <si>
    <t xml:space="preserve">                       ..in volume</t>
  </si>
  <si>
    <t xml:space="preserve">                      ..in weight</t>
  </si>
  <si>
    <t>.Water</t>
  </si>
  <si>
    <t>.Straw</t>
  </si>
  <si>
    <t>.Fire wood</t>
  </si>
  <si>
    <t>.Constr. wood &amp; furniture</t>
  </si>
  <si>
    <t>SUB-TOTAL-2</t>
  </si>
  <si>
    <t>3.- TRANSPORTATION</t>
  </si>
  <si>
    <t>.Bus/train</t>
  </si>
  <si>
    <t>.Taxi / other´s car</t>
  </si>
  <si>
    <t>.Gasoline (if you have a car)</t>
  </si>
  <si>
    <t>.Parts for repair</t>
  </si>
  <si>
    <t>.Airplane</t>
  </si>
  <si>
    <t>[pers.*hours]</t>
  </si>
  <si>
    <t>SUB-TOTAL-3</t>
  </si>
  <si>
    <t>.....CONTINUED   page #2 of 2</t>
  </si>
  <si>
    <t>4.-GOODS</t>
  </si>
  <si>
    <t>.Clothes (if bought used, account them at 1/3 of their true weight)</t>
  </si>
  <si>
    <t xml:space="preserve">      ..cotton</t>
  </si>
  <si>
    <t xml:space="preserve">      ..wool</t>
  </si>
  <si>
    <t xml:space="preserve">      ..fossil based</t>
  </si>
  <si>
    <t>.Paper products</t>
  </si>
  <si>
    <t>.Tools, metal part</t>
  </si>
  <si>
    <t>.Leather</t>
  </si>
  <si>
    <t>.Plastic products and photos</t>
  </si>
  <si>
    <t>.Porcelain, glass</t>
  </si>
  <si>
    <t>.Medicine</t>
  </si>
  <si>
    <t>.Hygiene prod., cleaning stuff</t>
  </si>
  <si>
    <t>.Cigarettes</t>
  </si>
  <si>
    <t>SUB-TOTAL-4</t>
  </si>
  <si>
    <t>5.-SERVICES (rough estimates !)</t>
  </si>
  <si>
    <t>.Washing (external)</t>
  </si>
  <si>
    <t>.Post services</t>
  </si>
  <si>
    <t xml:space="preserve">             ..international</t>
  </si>
  <si>
    <t xml:space="preserve">             ..local</t>
  </si>
  <si>
    <t>.Insurances</t>
  </si>
  <si>
    <t xml:space="preserve"> [$]</t>
  </si>
  <si>
    <t>.Telephone</t>
  </si>
  <si>
    <t>.Medical services</t>
  </si>
  <si>
    <t>.Entertainment</t>
  </si>
  <si>
    <t>.Education</t>
  </si>
  <si>
    <t>SUB-TOTAL-5</t>
  </si>
  <si>
    <t>6.- WASTE (assuming everything compostable is composted, and waste = packaging)</t>
  </si>
  <si>
    <t>enter percentage recycled in your household:</t>
  </si>
  <si>
    <t>%</t>
  </si>
  <si>
    <t>.Household waste:</t>
  </si>
  <si>
    <t>if sold, put negative dollars</t>
  </si>
  <si>
    <t xml:space="preserve">        ..paper</t>
  </si>
  <si>
    <t xml:space="preserve">        ..aluminum</t>
  </si>
  <si>
    <t xml:space="preserve">        ..magnetic metal</t>
  </si>
  <si>
    <t xml:space="preserve">       ..glass</t>
  </si>
  <si>
    <t xml:space="preserve">       ..plastic</t>
  </si>
  <si>
    <t>SUB-TOTAL-6</t>
  </si>
  <si>
    <t xml:space="preserve">Ecological Footprint  Matrix per household member </t>
  </si>
  <si>
    <t>expressed in average land with world average productivity [in square meters]</t>
  </si>
  <si>
    <t>TOTAL</t>
  </si>
  <si>
    <t>Category</t>
  </si>
  <si>
    <t>equivalence</t>
  </si>
  <si>
    <t>Footprint</t>
  </si>
  <si>
    <t>ENERGY LD.</t>
  </si>
  <si>
    <t>factors</t>
  </si>
  <si>
    <t>unadjusted</t>
  </si>
  <si>
    <t>1.- FOOD</t>
  </si>
  <si>
    <t>fossil energy</t>
  </si>
  <si>
    <t>arable land</t>
  </si>
  <si>
    <t>3.-TRANSPORTATION</t>
  </si>
  <si>
    <t>pasture</t>
  </si>
  <si>
    <t>forest</t>
  </si>
  <si>
    <t>5.-SERVICES</t>
  </si>
  <si>
    <t xml:space="preserve">built-up area </t>
  </si>
  <si>
    <t>6.-WASTE</t>
  </si>
  <si>
    <t>sea</t>
  </si>
  <si>
    <t>-</t>
  </si>
  <si>
    <t xml:space="preserve">Your per capita footprint is </t>
  </si>
  <si>
    <t xml:space="preserve"> hectares.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</si>
</sst>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h:mm\ AM/PM"/>
    <numFmt numFmtId="165" formatCode="hh:mm:ss\ AM/PM"/>
    <numFmt numFmtId="166" formatCode="hh:mm"/>
    <numFmt numFmtId="167" formatCode="hh:mm:ss"/>
    <numFmt numFmtId="168" formatCode="d/mm/yy\ hh:mm"/>
    <numFmt numFmtId="169" formatCode="#,##0&quot; $&quot;;\-#,##0&quot; $&quot;"/>
    <numFmt numFmtId="170" formatCode="#,##0&quot; $&quot;;[Red]\-#,##0&quot; $&quot;"/>
    <numFmt numFmtId="171" formatCode="#,##0.00&quot; $&quot;;\-#,##0.00&quot; $&quot;"/>
    <numFmt numFmtId="172" formatCode="#,##0.00&quot; $&quot;;[Red]\-#,##0.00&quot; $&quot;"/>
    <numFmt numFmtId="173" formatCode="0.0"/>
    <numFmt numFmtId="174" formatCode="_(&quot;Pts&quot;* #,##0_);_(&quot;Pts&quot;* \(#,##0\);_(&quot;Pts&quot;* &quot;-&quot;_);_(@_)"/>
    <numFmt numFmtId="175" formatCode="_(&quot;Pts&quot;* #,##0.00_);_(&quot;Pts&quot;* \(#,##0.00\);_(&quot;Pts&quot;* &quot;-&quot;??_);_(@_)"/>
    <numFmt numFmtId="176" formatCode="#,##0.000_);[Red]\(#,##0.000\)"/>
    <numFmt numFmtId="177" formatCode="#,##0.0_);[Red]\(#,##0.0\)"/>
    <numFmt numFmtId="178" formatCode="#,##0.0000_);[Red]\(#,##0.0000\)"/>
    <numFmt numFmtId="179" formatCode="#,##0.0"/>
    <numFmt numFmtId="180" formatCode="0.000"/>
    <numFmt numFmtId="181" formatCode="0.00000"/>
  </numFmts>
  <fonts count="27">
    <font>
      <sz val="10"/>
      <name val="MS Sans Serif"/>
      <family val="0"/>
    </font>
    <font>
      <b/>
      <sz val="10"/>
      <name val="MS Sans Serif"/>
      <family val="0"/>
    </font>
    <font>
      <i/>
      <sz val="10"/>
      <name val="MS Sans Serif"/>
      <family val="0"/>
    </font>
    <font>
      <b/>
      <i/>
      <sz val="10"/>
      <name val="MS Sans Serif"/>
      <family val="0"/>
    </font>
    <font>
      <b/>
      <sz val="12"/>
      <name val="Arial"/>
      <family val="0"/>
    </font>
    <font>
      <u val="single"/>
      <sz val="10"/>
      <color indexed="12"/>
      <name val="MS Sans Serif"/>
      <family val="0"/>
    </font>
    <font>
      <u val="single"/>
      <sz val="10"/>
      <color indexed="20"/>
      <name val="MS Sans Serif"/>
      <family val="0"/>
    </font>
    <font>
      <b/>
      <sz val="18"/>
      <name val="Arial"/>
      <family val="0"/>
    </font>
    <font>
      <sz val="10"/>
      <name val="Arial"/>
      <family val="0"/>
    </font>
    <font>
      <i/>
      <sz val="10"/>
      <name val="Arial"/>
      <family val="0"/>
    </font>
    <font>
      <b/>
      <i/>
      <sz val="10"/>
      <name val="Arial"/>
      <family val="0"/>
    </font>
    <font>
      <b/>
      <sz val="10"/>
      <name val="Arial"/>
      <family val="0"/>
    </font>
    <font>
      <b/>
      <i/>
      <sz val="12"/>
      <name val="Arial"/>
      <family val="0"/>
    </font>
    <font>
      <b/>
      <i/>
      <sz val="16"/>
      <name val="Arial"/>
      <family val="0"/>
    </font>
    <font>
      <b/>
      <sz val="14"/>
      <color indexed="10"/>
      <name val="Arial"/>
      <family val="0"/>
    </font>
    <font>
      <sz val="10"/>
      <color indexed="10"/>
      <name val="Arial"/>
      <family val="0"/>
    </font>
    <font>
      <b/>
      <sz val="10"/>
      <color indexed="10"/>
      <name val="Arial"/>
      <family val="0"/>
    </font>
    <font>
      <sz val="10"/>
      <color indexed="8"/>
      <name val="Arial"/>
      <family val="0"/>
    </font>
    <font>
      <b/>
      <i/>
      <sz val="11"/>
      <name val="Arial"/>
      <family val="0"/>
    </font>
    <font>
      <i/>
      <sz val="14"/>
      <name val="Arial"/>
      <family val="0"/>
    </font>
    <font>
      <sz val="8"/>
      <name val="Arial"/>
      <family val="0"/>
    </font>
    <font>
      <sz val="7"/>
      <name val="Arial"/>
      <family val="0"/>
    </font>
    <font>
      <b/>
      <i/>
      <sz val="10"/>
      <color indexed="10"/>
      <name val="Arial"/>
      <family val="0"/>
    </font>
    <font>
      <b/>
      <sz val="14"/>
      <name val="Arial"/>
      <family val="0"/>
    </font>
    <font>
      <sz val="8"/>
      <name val="Tahoma"/>
      <family val="0"/>
    </font>
    <font>
      <b/>
      <sz val="8"/>
      <name val="Tahoma"/>
      <family val="0"/>
    </font>
    <font>
      <b/>
      <sz val="8"/>
      <name val="MS Sans Serif"/>
      <family val="2"/>
    </font>
  </fonts>
  <fills count="2">
    <fill>
      <patternFill/>
    </fill>
    <fill>
      <patternFill patternType="gray125"/>
    </fill>
  </fills>
  <borders count="77">
    <border>
      <left/>
      <right/>
      <top/>
      <bottom/>
      <diagonal/>
    </border>
    <border>
      <left style="medium"/>
      <right>
        <color indexed="63"/>
      </right>
      <top style="medium"/>
      <bottom>
        <color indexed="63"/>
      </bottom>
    </border>
    <border>
      <left>
        <color indexed="63"/>
      </left>
      <right>
        <color indexed="63"/>
      </right>
      <top style="thick"/>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style="thin"/>
      <top>
        <color indexed="63"/>
      </top>
      <bottom>
        <color indexed="63"/>
      </bottom>
    </border>
    <border>
      <left style="thick"/>
      <right style="thick"/>
      <top style="thick"/>
      <bottom>
        <color indexed="63"/>
      </bottom>
    </border>
    <border>
      <left style="thick"/>
      <right style="medium"/>
      <top style="thick"/>
      <bottom>
        <color indexed="63"/>
      </bottom>
    </border>
    <border>
      <left style="thick"/>
      <right>
        <color indexed="63"/>
      </right>
      <top>
        <color indexed="63"/>
      </top>
      <bottom style="thick"/>
    </border>
    <border>
      <left style="thick"/>
      <right style="medium"/>
      <top>
        <color indexed="63"/>
      </top>
      <bottom style="thick"/>
    </border>
    <border>
      <left style="thick"/>
      <right style="thick"/>
      <top>
        <color indexed="63"/>
      </top>
      <bottom style="thick"/>
    </border>
    <border>
      <left style="thick"/>
      <right style="thin"/>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ck"/>
      <bottom>
        <color indexed="63"/>
      </bottom>
    </border>
    <border>
      <left style="thin"/>
      <right style="medium"/>
      <top style="thick"/>
      <bottom>
        <color indexed="63"/>
      </bottom>
    </border>
    <border>
      <left style="thin"/>
      <right style="thick"/>
      <top style="thick"/>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thick"/>
      <top>
        <color indexed="63"/>
      </top>
      <bottom>
        <color indexed="63"/>
      </bottom>
    </border>
    <border>
      <left style="thick"/>
      <right>
        <color indexed="63"/>
      </right>
      <top style="thin"/>
      <bottom style="thin"/>
    </border>
    <border>
      <left style="thin"/>
      <right>
        <color indexed="63"/>
      </right>
      <top style="thin"/>
      <bottom style="thin"/>
    </border>
    <border>
      <left style="thin"/>
      <right style="medium"/>
      <top style="thin"/>
      <bottom style="thin"/>
    </border>
    <border>
      <left style="thin"/>
      <right style="thick"/>
      <top style="thin"/>
      <bottom style="thin"/>
    </border>
    <border>
      <left style="thick"/>
      <right>
        <color indexed="63"/>
      </right>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ck"/>
      <top style="thin"/>
      <bottom>
        <color indexed="63"/>
      </bottom>
    </border>
    <border>
      <left style="thin"/>
      <right>
        <color indexed="63"/>
      </right>
      <top style="thin"/>
      <bottom style="medium"/>
    </border>
    <border>
      <left style="thin"/>
      <right style="medium"/>
      <top style="thin"/>
      <bottom style="medium"/>
    </border>
    <border>
      <left style="thin"/>
      <right style="thick"/>
      <top style="thin"/>
      <bottom style="medium"/>
    </border>
    <border>
      <left style="thin"/>
      <right>
        <color indexed="63"/>
      </right>
      <top style="thin"/>
      <bottom style="thick"/>
    </border>
    <border>
      <left style="thin"/>
      <right>
        <color indexed="63"/>
      </right>
      <top style="medium"/>
      <bottom style="thick"/>
    </border>
    <border>
      <left style="thin"/>
      <right style="thin"/>
      <top style="thick"/>
      <bottom>
        <color indexed="63"/>
      </bottom>
    </border>
    <border>
      <left style="thin"/>
      <right style="thin"/>
      <top style="thin"/>
      <bottom>
        <color indexed="63"/>
      </bottom>
    </border>
    <border>
      <left>
        <color indexed="63"/>
      </left>
      <right style="thick"/>
      <top style="thin"/>
      <bottom>
        <color indexed="63"/>
      </bottom>
    </border>
    <border>
      <left style="thin"/>
      <right style="thin"/>
      <top style="thin"/>
      <bottom style="thin"/>
    </border>
    <border>
      <left>
        <color indexed="63"/>
      </left>
      <right style="thick"/>
      <top style="thin"/>
      <bottom style="thin"/>
    </border>
    <border>
      <left style="thin"/>
      <right style="thin"/>
      <top style="thin"/>
      <bottom style="medium"/>
    </border>
    <border>
      <left>
        <color indexed="63"/>
      </left>
      <right style="thick"/>
      <top style="thin"/>
      <bottom style="medium"/>
    </border>
    <border>
      <left style="thin"/>
      <right style="thin"/>
      <top>
        <color indexed="63"/>
      </top>
      <bottom style="thick"/>
    </border>
    <border>
      <left style="thin"/>
      <right>
        <color indexed="63"/>
      </right>
      <top>
        <color indexed="63"/>
      </top>
      <bottom style="thick"/>
    </border>
    <border>
      <left style="thin"/>
      <right style="medium"/>
      <top style="thin"/>
      <bottom style="thick"/>
    </border>
    <border>
      <left style="thin"/>
      <right style="thick"/>
      <top style="thin"/>
      <bottom style="thick"/>
    </border>
    <border>
      <left style="thin"/>
      <right style="thin"/>
      <top style="thin"/>
      <bottom style="thick"/>
    </border>
    <border>
      <left style="thick"/>
      <right style="thin"/>
      <top style="thick"/>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ck"/>
      <top style="medium"/>
      <bottom style="thick"/>
    </border>
    <border>
      <left>
        <color indexed="63"/>
      </left>
      <right style="thin"/>
      <top>
        <color indexed="63"/>
      </top>
      <bottom>
        <color indexed="63"/>
      </bottom>
    </border>
    <border>
      <left style="thick"/>
      <right style="thick"/>
      <top>
        <color indexed="63"/>
      </top>
      <bottom>
        <color indexed="63"/>
      </bottom>
    </border>
    <border>
      <left style="thick"/>
      <right style="thick"/>
      <top style="thin"/>
      <bottom style="thin"/>
    </border>
    <border>
      <left style="thick"/>
      <right>
        <color indexed="63"/>
      </right>
      <top>
        <color indexed="63"/>
      </top>
      <bottom style="thin"/>
    </border>
    <border>
      <left style="thick"/>
      <right style="thick"/>
      <top style="thin"/>
      <bottom style="thick"/>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ck"/>
      <right>
        <color indexed="63"/>
      </right>
      <top style="medium"/>
      <bottom style="thin"/>
    </border>
    <border>
      <left style="thick"/>
      <right>
        <color indexed="63"/>
      </right>
      <top style="medium"/>
      <bottom style="thick"/>
    </border>
    <border>
      <left style="dotted"/>
      <right style="dotted"/>
      <top style="dotted"/>
      <bottom style="dotted"/>
    </border>
    <border>
      <left>
        <color indexed="63"/>
      </left>
      <right>
        <color indexed="63"/>
      </right>
      <top style="medium"/>
      <bottom style="thick"/>
    </border>
    <border>
      <left>
        <color indexed="63"/>
      </left>
      <right style="thin"/>
      <top style="medium"/>
      <bottom style="thick"/>
    </border>
    <border>
      <left>
        <color indexed="63"/>
      </left>
      <right style="thick"/>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4" fillId="0" borderId="1" xfId="0" applyFont="1" applyBorder="1" applyAlignment="1">
      <alignment/>
    </xf>
    <xf numFmtId="0" fontId="7" fillId="0" borderId="2" xfId="0" applyFont="1" applyBorder="1" applyAlignment="1">
      <alignment/>
    </xf>
    <xf numFmtId="0" fontId="8" fillId="0" borderId="0" xfId="0" applyFont="1" applyAlignment="1">
      <alignment/>
    </xf>
    <xf numFmtId="0" fontId="8" fillId="0" borderId="3" xfId="0" applyFont="1" applyBorder="1" applyAlignment="1">
      <alignment/>
    </xf>
    <xf numFmtId="0" fontId="8" fillId="0" borderId="4" xfId="0" applyFont="1" applyBorder="1" applyAlignment="1">
      <alignment/>
    </xf>
    <xf numFmtId="0" fontId="9" fillId="0" borderId="0" xfId="0" applyFont="1" applyAlignment="1">
      <alignment/>
    </xf>
    <xf numFmtId="0" fontId="8" fillId="0" borderId="5" xfId="0" applyFont="1" applyBorder="1" applyAlignment="1">
      <alignment/>
    </xf>
    <xf numFmtId="0" fontId="8" fillId="0" borderId="0" xfId="0" applyFont="1" applyBorder="1" applyAlignment="1">
      <alignment/>
    </xf>
    <xf numFmtId="0" fontId="8" fillId="0" borderId="6" xfId="0" applyFont="1" applyBorder="1" applyAlignment="1">
      <alignment/>
    </xf>
    <xf numFmtId="3" fontId="8" fillId="0" borderId="5" xfId="0" applyNumberFormat="1" applyFont="1" applyBorder="1" applyAlignment="1">
      <alignment/>
    </xf>
    <xf numFmtId="0" fontId="10" fillId="0" borderId="0" xfId="0" applyFont="1" applyBorder="1" applyAlignment="1">
      <alignment horizontal="right"/>
    </xf>
    <xf numFmtId="3" fontId="10" fillId="0" borderId="0" xfId="0" applyNumberFormat="1" applyFont="1" applyBorder="1" applyAlignment="1">
      <alignment/>
    </xf>
    <xf numFmtId="2" fontId="10" fillId="0" borderId="0" xfId="0" applyNumberFormat="1" applyFont="1" applyBorder="1" applyAlignment="1">
      <alignment/>
    </xf>
    <xf numFmtId="0" fontId="9" fillId="0" borderId="0" xfId="0" applyFont="1" applyBorder="1" applyAlignment="1">
      <alignment/>
    </xf>
    <xf numFmtId="3" fontId="8" fillId="0" borderId="7" xfId="0" applyNumberFormat="1" applyFont="1" applyBorder="1" applyAlignment="1">
      <alignment/>
    </xf>
    <xf numFmtId="0" fontId="8" fillId="0" borderId="8" xfId="0" applyFont="1" applyBorder="1" applyAlignment="1">
      <alignment/>
    </xf>
    <xf numFmtId="0" fontId="10" fillId="0" borderId="8" xfId="0" applyFont="1" applyBorder="1" applyAlignment="1">
      <alignment horizontal="right"/>
    </xf>
    <xf numFmtId="3" fontId="10" fillId="0" borderId="8" xfId="0" applyNumberFormat="1" applyFont="1" applyBorder="1" applyAlignment="1">
      <alignment/>
    </xf>
    <xf numFmtId="2" fontId="10" fillId="0" borderId="8" xfId="0" applyNumberFormat="1" applyFont="1" applyBorder="1" applyAlignment="1">
      <alignment/>
    </xf>
    <xf numFmtId="0" fontId="9" fillId="0" borderId="8" xfId="0" applyFont="1" applyBorder="1" applyAlignment="1">
      <alignment/>
    </xf>
    <xf numFmtId="0" fontId="8" fillId="0" borderId="9" xfId="0" applyFont="1" applyBorder="1" applyAlignment="1">
      <alignment/>
    </xf>
    <xf numFmtId="0" fontId="9" fillId="0" borderId="0" xfId="0" applyFont="1" applyAlignment="1" quotePrefix="1">
      <alignment horizontal="center"/>
    </xf>
    <xf numFmtId="181" fontId="8" fillId="0" borderId="0" xfId="0" applyNumberFormat="1" applyFont="1" applyAlignment="1">
      <alignment/>
    </xf>
    <xf numFmtId="3" fontId="8" fillId="0" borderId="0" xfId="0" applyNumberFormat="1" applyFont="1" applyAlignment="1">
      <alignment/>
    </xf>
    <xf numFmtId="0" fontId="10" fillId="0" borderId="0" xfId="0" applyFont="1" applyAlignment="1">
      <alignment horizontal="right"/>
    </xf>
    <xf numFmtId="3" fontId="10" fillId="0" borderId="0" xfId="0" applyNumberFormat="1" applyFont="1" applyAlignment="1">
      <alignment/>
    </xf>
    <xf numFmtId="2" fontId="10" fillId="0" borderId="0" xfId="0" applyNumberFormat="1" applyFont="1" applyAlignment="1">
      <alignment/>
    </xf>
    <xf numFmtId="181" fontId="9" fillId="0" borderId="0" xfId="0" applyNumberFormat="1" applyFont="1" applyAlignment="1" quotePrefix="1">
      <alignment horizontal="center"/>
    </xf>
    <xf numFmtId="3" fontId="4" fillId="0" borderId="10" xfId="0" applyNumberFormat="1" applyFont="1" applyBorder="1" applyAlignment="1">
      <alignment/>
    </xf>
    <xf numFmtId="0" fontId="8" fillId="0" borderId="11" xfId="0" applyFont="1" applyBorder="1" applyAlignment="1">
      <alignment/>
    </xf>
    <xf numFmtId="0" fontId="10" fillId="0" borderId="11" xfId="0" applyFont="1" applyBorder="1" applyAlignment="1">
      <alignment horizontal="right"/>
    </xf>
    <xf numFmtId="3" fontId="10" fillId="0" borderId="11" xfId="0" applyNumberFormat="1" applyFont="1" applyBorder="1" applyAlignment="1">
      <alignment/>
    </xf>
    <xf numFmtId="2" fontId="10" fillId="0" borderId="11" xfId="0" applyNumberFormat="1" applyFont="1" applyBorder="1" applyAlignment="1">
      <alignment/>
    </xf>
    <xf numFmtId="0" fontId="11" fillId="0" borderId="11" xfId="0" applyFont="1" applyBorder="1" applyAlignment="1">
      <alignment/>
    </xf>
    <xf numFmtId="0" fontId="8" fillId="0" borderId="12" xfId="0" applyFont="1" applyBorder="1" applyAlignment="1">
      <alignment/>
    </xf>
    <xf numFmtId="0" fontId="8" fillId="0" borderId="0" xfId="0" applyFont="1" applyAlignment="1">
      <alignment horizontal="center"/>
    </xf>
    <xf numFmtId="0" fontId="8" fillId="0" borderId="13" xfId="0" applyFont="1" applyBorder="1" applyAlignment="1">
      <alignment/>
    </xf>
    <xf numFmtId="0" fontId="8" fillId="0" borderId="2" xfId="0" applyFont="1" applyBorder="1" applyAlignment="1">
      <alignment/>
    </xf>
    <xf numFmtId="0" fontId="8" fillId="0" borderId="2" xfId="0" applyFont="1" applyBorder="1" applyAlignment="1">
      <alignment horizontal="center"/>
    </xf>
    <xf numFmtId="0" fontId="8" fillId="0" borderId="14" xfId="0" applyFont="1" applyBorder="1" applyAlignment="1">
      <alignment/>
    </xf>
    <xf numFmtId="0" fontId="8" fillId="0" borderId="15" xfId="0" applyFont="1" applyBorder="1" applyAlignment="1">
      <alignment/>
    </xf>
    <xf numFmtId="0" fontId="7" fillId="0" borderId="0" xfId="0" applyFont="1" applyBorder="1" applyAlignment="1">
      <alignment/>
    </xf>
    <xf numFmtId="0" fontId="11" fillId="0" borderId="0" xfId="0" applyFont="1" applyBorder="1" applyAlignment="1">
      <alignment/>
    </xf>
    <xf numFmtId="0" fontId="11" fillId="0" borderId="16" xfId="0" applyFont="1" applyBorder="1" applyAlignment="1">
      <alignment/>
    </xf>
    <xf numFmtId="0" fontId="8" fillId="0" borderId="16" xfId="0" applyFont="1" applyBorder="1" applyAlignment="1">
      <alignment/>
    </xf>
    <xf numFmtId="0" fontId="12" fillId="0" borderId="15" xfId="0" applyFont="1" applyBorder="1" applyAlignment="1">
      <alignment/>
    </xf>
    <xf numFmtId="0" fontId="8" fillId="0" borderId="17" xfId="0" applyFont="1" applyBorder="1" applyAlignment="1">
      <alignment horizontal="center"/>
    </xf>
    <xf numFmtId="0" fontId="8" fillId="0" borderId="0" xfId="0" applyFont="1" applyBorder="1" applyAlignment="1">
      <alignment horizontal="center"/>
    </xf>
    <xf numFmtId="0" fontId="8" fillId="0" borderId="16" xfId="0" applyFont="1" applyBorder="1" applyAlignment="1">
      <alignment horizontal="center"/>
    </xf>
    <xf numFmtId="0" fontId="11" fillId="0" borderId="13" xfId="0" applyFont="1" applyBorder="1" applyAlignment="1">
      <alignment/>
    </xf>
    <xf numFmtId="0" fontId="11" fillId="0" borderId="13"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1" fillId="0" borderId="18" xfId="0" applyFont="1" applyBorder="1" applyAlignment="1">
      <alignment/>
    </xf>
    <xf numFmtId="0" fontId="11" fillId="0" borderId="20" xfId="0" applyFont="1" applyBorder="1" applyAlignment="1">
      <alignment/>
    </xf>
    <xf numFmtId="0" fontId="11" fillId="0" borderId="20" xfId="0" applyFont="1" applyBorder="1" applyAlignment="1">
      <alignment horizontal="center"/>
    </xf>
    <xf numFmtId="0" fontId="11" fillId="0" borderId="21" xfId="0" applyFont="1" applyBorder="1" applyAlignment="1">
      <alignment horizontal="center"/>
    </xf>
    <xf numFmtId="0" fontId="11" fillId="0" borderId="22" xfId="0" applyFont="1" applyBorder="1" applyAlignment="1">
      <alignment horizontal="center"/>
    </xf>
    <xf numFmtId="0" fontId="11" fillId="0" borderId="22" xfId="0" applyFont="1" applyBorder="1" applyAlignment="1">
      <alignment/>
    </xf>
    <xf numFmtId="0" fontId="8" fillId="0" borderId="23" xfId="0" applyFont="1" applyBorder="1" applyAlignment="1">
      <alignment/>
    </xf>
    <xf numFmtId="0" fontId="8" fillId="0" borderId="24" xfId="0" applyFont="1" applyBorder="1" applyAlignment="1">
      <alignment/>
    </xf>
    <xf numFmtId="0" fontId="8" fillId="0" borderId="25" xfId="0" applyFont="1" applyBorder="1" applyAlignment="1">
      <alignment/>
    </xf>
    <xf numFmtId="0" fontId="11" fillId="0" borderId="13" xfId="0" applyFont="1" applyBorder="1" applyAlignment="1">
      <alignment/>
    </xf>
    <xf numFmtId="0" fontId="11" fillId="0" borderId="2" xfId="0" applyFont="1" applyBorder="1" applyAlignment="1">
      <alignment/>
    </xf>
    <xf numFmtId="0" fontId="8" fillId="0" borderId="26" xfId="0" applyFont="1" applyBorder="1" applyAlignment="1">
      <alignment/>
    </xf>
    <xf numFmtId="0" fontId="8" fillId="0" borderId="27" xfId="0" applyFont="1" applyBorder="1" applyAlignment="1">
      <alignment/>
    </xf>
    <xf numFmtId="0" fontId="8" fillId="0" borderId="26" xfId="0" applyFont="1" applyBorder="1" applyAlignment="1">
      <alignment horizontal="center"/>
    </xf>
    <xf numFmtId="0" fontId="8" fillId="0" borderId="28" xfId="0" applyFont="1" applyBorder="1" applyAlignment="1">
      <alignment/>
    </xf>
    <xf numFmtId="2" fontId="8" fillId="0" borderId="15" xfId="0" applyNumberFormat="1" applyFont="1" applyBorder="1" applyAlignment="1">
      <alignment horizontal="center"/>
    </xf>
    <xf numFmtId="0" fontId="8" fillId="0" borderId="29" xfId="0" applyFont="1" applyBorder="1" applyAlignment="1">
      <alignment/>
    </xf>
    <xf numFmtId="0" fontId="11" fillId="0" borderId="15" xfId="0" applyFont="1" applyBorder="1" applyAlignment="1">
      <alignment/>
    </xf>
    <xf numFmtId="0" fontId="8" fillId="0" borderId="30" xfId="0" applyFont="1" applyBorder="1" applyAlignment="1">
      <alignment/>
    </xf>
    <xf numFmtId="0" fontId="8" fillId="0" borderId="31" xfId="0" applyFont="1" applyBorder="1" applyAlignment="1">
      <alignment/>
    </xf>
    <xf numFmtId="0" fontId="8" fillId="0" borderId="32" xfId="0" applyFont="1" applyBorder="1" applyAlignment="1">
      <alignment/>
    </xf>
    <xf numFmtId="0" fontId="8" fillId="0" borderId="33" xfId="0" applyFont="1" applyBorder="1" applyAlignment="1">
      <alignment/>
    </xf>
    <xf numFmtId="3" fontId="8" fillId="0" borderId="34" xfId="0" applyNumberFormat="1" applyFont="1" applyBorder="1" applyAlignment="1">
      <alignment/>
    </xf>
    <xf numFmtId="3" fontId="8" fillId="0" borderId="35" xfId="0" applyNumberFormat="1" applyFont="1" applyBorder="1" applyAlignment="1">
      <alignment/>
    </xf>
    <xf numFmtId="3" fontId="11" fillId="0" borderId="34" xfId="0" applyNumberFormat="1" applyFont="1" applyBorder="1" applyAlignment="1">
      <alignment/>
    </xf>
    <xf numFmtId="3" fontId="11" fillId="0" borderId="36" xfId="0" applyNumberFormat="1" applyFont="1" applyBorder="1" applyAlignment="1">
      <alignment/>
    </xf>
    <xf numFmtId="3" fontId="8" fillId="0" borderId="36" xfId="0" applyNumberFormat="1" applyFont="1" applyBorder="1" applyAlignment="1">
      <alignment/>
    </xf>
    <xf numFmtId="0" fontId="9" fillId="0" borderId="37" xfId="0" applyFont="1" applyBorder="1" applyAlignment="1">
      <alignment/>
    </xf>
    <xf numFmtId="3" fontId="8" fillId="0" borderId="38" xfId="0" applyNumberFormat="1" applyFont="1" applyBorder="1" applyAlignment="1">
      <alignment/>
    </xf>
    <xf numFmtId="3" fontId="8" fillId="0" borderId="39" xfId="0" applyNumberFormat="1" applyFont="1" applyBorder="1" applyAlignment="1">
      <alignment/>
    </xf>
    <xf numFmtId="3" fontId="11" fillId="0" borderId="38" xfId="0" applyNumberFormat="1" applyFont="1" applyBorder="1" applyAlignment="1">
      <alignment/>
    </xf>
    <xf numFmtId="3" fontId="11" fillId="0" borderId="40" xfId="0" applyNumberFormat="1" applyFont="1" applyBorder="1" applyAlignment="1">
      <alignment/>
    </xf>
    <xf numFmtId="3" fontId="8" fillId="0" borderId="40" xfId="0" applyNumberFormat="1" applyFont="1" applyBorder="1" applyAlignment="1">
      <alignment/>
    </xf>
    <xf numFmtId="3" fontId="8" fillId="0" borderId="41" xfId="0" applyNumberFormat="1" applyFont="1" applyBorder="1" applyAlignment="1">
      <alignment/>
    </xf>
    <xf numFmtId="3" fontId="8" fillId="0" borderId="42" xfId="0" applyNumberFormat="1" applyFont="1" applyBorder="1" applyAlignment="1">
      <alignment/>
    </xf>
    <xf numFmtId="3" fontId="11" fillId="0" borderId="41" xfId="0" applyNumberFormat="1" applyFont="1" applyBorder="1" applyAlignment="1">
      <alignment/>
    </xf>
    <xf numFmtId="3" fontId="11" fillId="0" borderId="43" xfId="0" applyNumberFormat="1" applyFont="1" applyBorder="1" applyAlignment="1">
      <alignment/>
    </xf>
    <xf numFmtId="3" fontId="8" fillId="0" borderId="43" xfId="0" applyNumberFormat="1" applyFont="1" applyBorder="1" applyAlignment="1">
      <alignment/>
    </xf>
    <xf numFmtId="3" fontId="11" fillId="0" borderId="44" xfId="0" applyNumberFormat="1" applyFont="1" applyBorder="1" applyAlignment="1">
      <alignment/>
    </xf>
    <xf numFmtId="3" fontId="11" fillId="0" borderId="45" xfId="0" applyNumberFormat="1" applyFont="1" applyBorder="1" applyAlignment="1">
      <alignment/>
    </xf>
    <xf numFmtId="3" fontId="11" fillId="0" borderId="35" xfId="0" applyNumberFormat="1" applyFont="1" applyBorder="1" applyAlignment="1">
      <alignment/>
    </xf>
    <xf numFmtId="2" fontId="11" fillId="0" borderId="15" xfId="0" applyNumberFormat="1" applyFont="1" applyBorder="1" applyAlignment="1">
      <alignment horizontal="center"/>
    </xf>
    <xf numFmtId="0" fontId="11" fillId="0" borderId="30" xfId="0" applyFont="1" applyBorder="1" applyAlignment="1">
      <alignment/>
    </xf>
    <xf numFmtId="3" fontId="11" fillId="0" borderId="27" xfId="0" applyNumberFormat="1" applyFont="1" applyBorder="1" applyAlignment="1">
      <alignment/>
    </xf>
    <xf numFmtId="3" fontId="11" fillId="0" borderId="46" xfId="0" applyNumberFormat="1" applyFont="1" applyBorder="1" applyAlignment="1">
      <alignment/>
    </xf>
    <xf numFmtId="3" fontId="11" fillId="0" borderId="28" xfId="0" applyNumberFormat="1" applyFont="1" applyBorder="1" applyAlignment="1">
      <alignment/>
    </xf>
    <xf numFmtId="3" fontId="8" fillId="0" borderId="28" xfId="0" applyNumberFormat="1" applyFont="1" applyBorder="1" applyAlignment="1">
      <alignment/>
    </xf>
    <xf numFmtId="0" fontId="11" fillId="0" borderId="29" xfId="0" applyFont="1" applyBorder="1" applyAlignment="1">
      <alignment/>
    </xf>
    <xf numFmtId="3" fontId="11" fillId="0" borderId="31" xfId="0" applyNumberFormat="1" applyFont="1" applyBorder="1" applyAlignment="1">
      <alignment/>
    </xf>
    <xf numFmtId="3" fontId="11" fillId="0" borderId="29" xfId="0" applyNumberFormat="1" applyFont="1" applyBorder="1" applyAlignment="1">
      <alignment/>
    </xf>
    <xf numFmtId="3" fontId="11" fillId="0" borderId="16" xfId="0" applyNumberFormat="1" applyFont="1" applyBorder="1" applyAlignment="1">
      <alignment/>
    </xf>
    <xf numFmtId="3" fontId="8" fillId="0" borderId="16" xfId="0" applyNumberFormat="1" applyFont="1" applyBorder="1" applyAlignment="1">
      <alignment/>
    </xf>
    <xf numFmtId="0" fontId="11" fillId="0" borderId="47" xfId="0" applyFont="1" applyBorder="1" applyAlignment="1">
      <alignment/>
    </xf>
    <xf numFmtId="3" fontId="11" fillId="0" borderId="39" xfId="0" applyNumberFormat="1" applyFont="1" applyBorder="1" applyAlignment="1">
      <alignment/>
    </xf>
    <xf numFmtId="3" fontId="11" fillId="0" borderId="47" xfId="0" applyNumberFormat="1" applyFont="1" applyBorder="1" applyAlignment="1">
      <alignment/>
    </xf>
    <xf numFmtId="3" fontId="8" fillId="0" borderId="48" xfId="0" applyNumberFormat="1" applyFont="1" applyBorder="1" applyAlignment="1">
      <alignment/>
    </xf>
    <xf numFmtId="0" fontId="8" fillId="0" borderId="34" xfId="0" applyFont="1" applyBorder="1" applyAlignment="1">
      <alignment/>
    </xf>
    <xf numFmtId="3" fontId="11" fillId="0" borderId="49" xfId="0" applyNumberFormat="1" applyFont="1" applyBorder="1" applyAlignment="1">
      <alignment/>
    </xf>
    <xf numFmtId="3" fontId="8" fillId="0" borderId="50" xfId="0" applyNumberFormat="1" applyFont="1" applyBorder="1" applyAlignment="1">
      <alignment/>
    </xf>
    <xf numFmtId="3" fontId="8" fillId="0" borderId="49" xfId="0" applyNumberFormat="1" applyFont="1" applyBorder="1" applyAlignment="1">
      <alignment/>
    </xf>
    <xf numFmtId="0" fontId="8" fillId="0" borderId="37" xfId="0" applyFont="1" applyBorder="1" applyAlignment="1">
      <alignment/>
    </xf>
    <xf numFmtId="0" fontId="8" fillId="0" borderId="47" xfId="0" applyFont="1" applyBorder="1" applyAlignment="1">
      <alignment/>
    </xf>
    <xf numFmtId="3" fontId="8" fillId="0" borderId="47" xfId="0" applyNumberFormat="1" applyFont="1" applyBorder="1" applyAlignment="1">
      <alignment/>
    </xf>
    <xf numFmtId="3" fontId="11" fillId="0" borderId="48" xfId="0" applyNumberFormat="1" applyFont="1" applyBorder="1" applyAlignment="1">
      <alignment/>
    </xf>
    <xf numFmtId="3" fontId="11" fillId="0" borderId="50" xfId="0" applyNumberFormat="1" applyFont="1" applyBorder="1" applyAlignment="1">
      <alignment/>
    </xf>
    <xf numFmtId="0" fontId="8" fillId="0" borderId="51" xfId="0" applyFont="1" applyBorder="1" applyAlignment="1">
      <alignment/>
    </xf>
    <xf numFmtId="0" fontId="8" fillId="0" borderId="41" xfId="0" applyFont="1" applyBorder="1" applyAlignment="1">
      <alignment/>
    </xf>
    <xf numFmtId="3" fontId="11" fillId="0" borderId="51" xfId="0" applyNumberFormat="1" applyFont="1" applyBorder="1" applyAlignment="1">
      <alignment/>
    </xf>
    <xf numFmtId="3" fontId="8" fillId="0" borderId="51" xfId="0" applyNumberFormat="1" applyFont="1" applyBorder="1" applyAlignment="1">
      <alignment/>
    </xf>
    <xf numFmtId="3" fontId="11" fillId="0" borderId="52" xfId="0" applyNumberFormat="1" applyFont="1" applyBorder="1" applyAlignment="1">
      <alignment/>
    </xf>
    <xf numFmtId="3" fontId="8" fillId="0" borderId="52" xfId="0" applyNumberFormat="1" applyFont="1" applyBorder="1" applyAlignment="1">
      <alignment/>
    </xf>
    <xf numFmtId="0" fontId="11" fillId="0" borderId="53" xfId="0" applyFont="1" applyBorder="1" applyAlignment="1">
      <alignment/>
    </xf>
    <xf numFmtId="0" fontId="11" fillId="0" borderId="54" xfId="0" applyFont="1" applyBorder="1" applyAlignment="1">
      <alignment/>
    </xf>
    <xf numFmtId="3" fontId="11" fillId="0" borderId="55" xfId="0" applyNumberFormat="1" applyFont="1" applyBorder="1" applyAlignment="1">
      <alignment/>
    </xf>
    <xf numFmtId="3" fontId="11" fillId="0" borderId="56" xfId="0" applyNumberFormat="1" applyFont="1" applyBorder="1" applyAlignment="1">
      <alignment/>
    </xf>
    <xf numFmtId="3" fontId="8" fillId="0" borderId="56" xfId="0" applyNumberFormat="1" applyFont="1" applyBorder="1" applyAlignment="1">
      <alignment/>
    </xf>
    <xf numFmtId="0" fontId="11" fillId="0" borderId="57" xfId="0" applyFont="1" applyBorder="1" applyAlignment="1">
      <alignment/>
    </xf>
    <xf numFmtId="0" fontId="11" fillId="0" borderId="44" xfId="0" applyFont="1" applyBorder="1" applyAlignment="1">
      <alignment/>
    </xf>
    <xf numFmtId="0" fontId="8" fillId="0" borderId="20" xfId="0" applyFont="1" applyBorder="1" applyAlignment="1">
      <alignment/>
    </xf>
    <xf numFmtId="0" fontId="8" fillId="0" borderId="53" xfId="0" applyFont="1" applyBorder="1" applyAlignment="1">
      <alignment/>
    </xf>
    <xf numFmtId="0" fontId="8" fillId="0" borderId="58" xfId="0" applyFont="1" applyBorder="1" applyAlignment="1">
      <alignment/>
    </xf>
    <xf numFmtId="0" fontId="8" fillId="0" borderId="46" xfId="0" applyFont="1" applyBorder="1" applyAlignment="1">
      <alignment/>
    </xf>
    <xf numFmtId="0" fontId="11" fillId="0" borderId="32" xfId="0" applyFont="1" applyBorder="1" applyAlignment="1">
      <alignment/>
    </xf>
    <xf numFmtId="0" fontId="11" fillId="0" borderId="59" xfId="0" applyFont="1" applyBorder="1" applyAlignment="1">
      <alignment/>
    </xf>
    <xf numFmtId="0" fontId="11" fillId="0" borderId="40" xfId="0" applyFont="1" applyBorder="1" applyAlignment="1">
      <alignment/>
    </xf>
    <xf numFmtId="0" fontId="11" fillId="0" borderId="48" xfId="0" applyFont="1" applyBorder="1" applyAlignment="1">
      <alignment/>
    </xf>
    <xf numFmtId="0" fontId="8" fillId="0" borderId="48" xfId="0" applyFont="1" applyBorder="1" applyAlignment="1">
      <alignment/>
    </xf>
    <xf numFmtId="0" fontId="8" fillId="0" borderId="38" xfId="0" applyFont="1" applyBorder="1" applyAlignment="1">
      <alignment/>
    </xf>
    <xf numFmtId="0" fontId="8" fillId="0" borderId="40" xfId="0" applyFont="1" applyBorder="1" applyAlignment="1">
      <alignment/>
    </xf>
    <xf numFmtId="3" fontId="8" fillId="0" borderId="60" xfId="0" applyNumberFormat="1" applyFont="1" applyBorder="1" applyAlignment="1">
      <alignment/>
    </xf>
    <xf numFmtId="0" fontId="8" fillId="0" borderId="36" xfId="0" applyFont="1" applyBorder="1" applyAlignment="1">
      <alignment/>
    </xf>
    <xf numFmtId="0" fontId="8" fillId="0" borderId="43" xfId="0" applyFont="1" applyBorder="1" applyAlignment="1">
      <alignment/>
    </xf>
    <xf numFmtId="0" fontId="11" fillId="0" borderId="49" xfId="0" applyFont="1" applyBorder="1" applyAlignment="1">
      <alignment/>
    </xf>
    <xf numFmtId="0" fontId="11" fillId="0" borderId="50" xfId="0" applyFont="1" applyBorder="1" applyAlignment="1">
      <alignment/>
    </xf>
    <xf numFmtId="0" fontId="8" fillId="0" borderId="50" xfId="0" applyFont="1" applyBorder="1" applyAlignment="1">
      <alignment/>
    </xf>
    <xf numFmtId="0" fontId="11" fillId="0" borderId="51" xfId="0" applyFont="1" applyBorder="1" applyAlignment="1">
      <alignment/>
    </xf>
    <xf numFmtId="0" fontId="11" fillId="0" borderId="52" xfId="0" applyFont="1" applyBorder="1" applyAlignment="1">
      <alignment/>
    </xf>
    <xf numFmtId="0" fontId="8" fillId="0" borderId="52" xfId="0" applyFont="1" applyBorder="1" applyAlignment="1">
      <alignment/>
    </xf>
    <xf numFmtId="1" fontId="11" fillId="0" borderId="61" xfId="0" applyNumberFormat="1" applyFont="1" applyBorder="1" applyAlignment="1">
      <alignment/>
    </xf>
    <xf numFmtId="1" fontId="11" fillId="0" borderId="45" xfId="0" applyNumberFormat="1" applyFont="1" applyBorder="1" applyAlignment="1">
      <alignment/>
    </xf>
    <xf numFmtId="0" fontId="11" fillId="0" borderId="56" xfId="0" applyFont="1" applyBorder="1" applyAlignment="1">
      <alignment/>
    </xf>
    <xf numFmtId="0" fontId="8" fillId="0" borderId="56" xfId="0" applyFont="1" applyBorder="1" applyAlignment="1">
      <alignment/>
    </xf>
    <xf numFmtId="0" fontId="9" fillId="0" borderId="15" xfId="0" applyFont="1" applyBorder="1" applyAlignment="1">
      <alignment horizontal="right"/>
    </xf>
    <xf numFmtId="0" fontId="10" fillId="0" borderId="0" xfId="0" applyFont="1" applyBorder="1" applyAlignment="1">
      <alignment/>
    </xf>
    <xf numFmtId="1" fontId="8" fillId="0" borderId="49" xfId="0" applyNumberFormat="1" applyFont="1" applyBorder="1" applyAlignment="1">
      <alignment/>
    </xf>
    <xf numFmtId="1" fontId="11" fillId="0" borderId="44" xfId="0" applyNumberFormat="1" applyFont="1" applyBorder="1" applyAlignment="1">
      <alignment/>
    </xf>
    <xf numFmtId="2" fontId="4" fillId="0" borderId="20" xfId="0" applyNumberFormat="1" applyFont="1" applyBorder="1" applyAlignment="1">
      <alignment horizontal="center"/>
    </xf>
    <xf numFmtId="0" fontId="7" fillId="0" borderId="13" xfId="0" applyFont="1" applyBorder="1" applyAlignment="1">
      <alignment/>
    </xf>
    <xf numFmtId="0" fontId="8" fillId="0" borderId="15" xfId="0" applyFont="1" applyBorder="1" applyAlignment="1">
      <alignment horizontal="right"/>
    </xf>
    <xf numFmtId="0" fontId="4" fillId="0" borderId="0" xfId="0" applyFont="1" applyBorder="1" applyAlignment="1">
      <alignment/>
    </xf>
    <xf numFmtId="0" fontId="4" fillId="0" borderId="18" xfId="0" applyFont="1" applyBorder="1" applyAlignment="1">
      <alignment horizontal="center"/>
    </xf>
    <xf numFmtId="0" fontId="11" fillId="0" borderId="0" xfId="0" applyFont="1" applyBorder="1" applyAlignment="1">
      <alignment horizontal="center"/>
    </xf>
    <xf numFmtId="0" fontId="8" fillId="0" borderId="59" xfId="0" applyFont="1" applyBorder="1" applyAlignment="1">
      <alignment horizontal="center"/>
    </xf>
    <xf numFmtId="3" fontId="8" fillId="0" borderId="47" xfId="0" applyNumberFormat="1" applyFont="1" applyBorder="1" applyAlignment="1">
      <alignment horizontal="center"/>
    </xf>
    <xf numFmtId="0" fontId="11" fillId="0" borderId="0" xfId="0" applyFont="1" applyBorder="1" applyAlignment="1">
      <alignment/>
    </xf>
    <xf numFmtId="0" fontId="8" fillId="0" borderId="62" xfId="0" applyFont="1" applyBorder="1" applyAlignment="1">
      <alignment horizontal="center"/>
    </xf>
    <xf numFmtId="3" fontId="8" fillId="0" borderId="29" xfId="0" applyNumberFormat="1" applyFont="1" applyBorder="1" applyAlignment="1">
      <alignment horizontal="center"/>
    </xf>
    <xf numFmtId="3" fontId="11" fillId="0" borderId="63" xfId="0" applyNumberFormat="1" applyFont="1" applyBorder="1" applyAlignment="1">
      <alignment/>
    </xf>
    <xf numFmtId="173" fontId="8" fillId="0" borderId="59" xfId="0" applyNumberFormat="1" applyFont="1" applyBorder="1" applyAlignment="1">
      <alignment horizontal="center"/>
    </xf>
    <xf numFmtId="3" fontId="11" fillId="0" borderId="64" xfId="0" applyNumberFormat="1" applyFont="1" applyBorder="1" applyAlignment="1">
      <alignment/>
    </xf>
    <xf numFmtId="173" fontId="8" fillId="0" borderId="62" xfId="0" applyNumberFormat="1" applyFont="1" applyBorder="1" applyAlignment="1">
      <alignment horizontal="center"/>
    </xf>
    <xf numFmtId="0" fontId="8" fillId="0" borderId="65" xfId="0" applyFont="1" applyBorder="1" applyAlignment="1">
      <alignment/>
    </xf>
    <xf numFmtId="38" fontId="8" fillId="0" borderId="49" xfId="15" applyNumberFormat="1" applyFont="1" applyBorder="1" applyAlignment="1">
      <alignment/>
    </xf>
    <xf numFmtId="3" fontId="8" fillId="0" borderId="53" xfId="0" applyNumberFormat="1" applyFont="1" applyBorder="1" applyAlignment="1">
      <alignment/>
    </xf>
    <xf numFmtId="3" fontId="11" fillId="0" borderId="66" xfId="0" applyNumberFormat="1" applyFont="1" applyBorder="1" applyAlignment="1">
      <alignment/>
    </xf>
    <xf numFmtId="0" fontId="4" fillId="0" borderId="20" xfId="0" applyFont="1" applyBorder="1" applyAlignment="1">
      <alignment horizontal="center"/>
    </xf>
    <xf numFmtId="0" fontId="4" fillId="0" borderId="24" xfId="0" applyFont="1" applyBorder="1" applyAlignment="1">
      <alignment horizontal="center"/>
    </xf>
    <xf numFmtId="3" fontId="11" fillId="0" borderId="53" xfId="0" applyNumberFormat="1" applyFont="1" applyBorder="1" applyAlignment="1">
      <alignment/>
    </xf>
    <xf numFmtId="3" fontId="4" fillId="0" borderId="22" xfId="0" applyNumberFormat="1" applyFont="1" applyBorder="1" applyAlignment="1">
      <alignment/>
    </xf>
    <xf numFmtId="0" fontId="8" fillId="0" borderId="67" xfId="0" applyFont="1" applyBorder="1" applyAlignment="1">
      <alignment/>
    </xf>
    <xf numFmtId="0" fontId="8" fillId="0" borderId="68" xfId="0" applyFont="1" applyBorder="1" applyAlignment="1">
      <alignment horizontal="center"/>
    </xf>
    <xf numFmtId="3" fontId="8" fillId="0" borderId="69" xfId="0" applyNumberFormat="1" applyFont="1" applyBorder="1" applyAlignment="1">
      <alignment horizontal="center"/>
    </xf>
    <xf numFmtId="0" fontId="13" fillId="0" borderId="0" xfId="0" applyFont="1" applyAlignment="1">
      <alignment/>
    </xf>
    <xf numFmtId="179" fontId="13" fillId="0" borderId="0" xfId="0" applyNumberFormat="1" applyFont="1" applyAlignment="1">
      <alignment horizontal="center"/>
    </xf>
    <xf numFmtId="0" fontId="9" fillId="0" borderId="0" xfId="0" applyFont="1" applyAlignment="1">
      <alignment horizontal="center"/>
    </xf>
    <xf numFmtId="0" fontId="0" fillId="0" borderId="3" xfId="0" applyBorder="1" applyAlignment="1">
      <alignment/>
    </xf>
    <xf numFmtId="0" fontId="4" fillId="0" borderId="13" xfId="0" applyFont="1" applyBorder="1" applyAlignment="1">
      <alignment/>
    </xf>
    <xf numFmtId="0" fontId="8" fillId="0" borderId="70" xfId="0" applyFont="1" applyBorder="1" applyAlignment="1">
      <alignment horizontal="center"/>
    </xf>
    <xf numFmtId="0" fontId="11" fillId="0" borderId="71" xfId="0" applyFont="1" applyBorder="1" applyAlignment="1">
      <alignment/>
    </xf>
    <xf numFmtId="3" fontId="8" fillId="0" borderId="68" xfId="0" applyNumberFormat="1" applyFont="1" applyBorder="1" applyAlignment="1">
      <alignment/>
    </xf>
    <xf numFmtId="0" fontId="11" fillId="0" borderId="72" xfId="0" applyFont="1" applyBorder="1" applyAlignment="1">
      <alignment/>
    </xf>
    <xf numFmtId="0" fontId="14" fillId="0" borderId="11" xfId="0" applyFont="1" applyBorder="1" applyAlignment="1">
      <alignment horizontal="center"/>
    </xf>
    <xf numFmtId="3" fontId="15" fillId="0" borderId="34" xfId="0" applyNumberFormat="1" applyFont="1" applyBorder="1" applyAlignment="1">
      <alignment/>
    </xf>
    <xf numFmtId="3" fontId="15" fillId="0" borderId="38" xfId="0" applyNumberFormat="1" applyFont="1" applyBorder="1" applyAlignment="1">
      <alignment/>
    </xf>
    <xf numFmtId="3" fontId="15" fillId="0" borderId="41" xfId="0" applyNumberFormat="1" applyFont="1" applyBorder="1" applyAlignment="1">
      <alignment/>
    </xf>
    <xf numFmtId="3" fontId="16" fillId="0" borderId="44" xfId="0" applyNumberFormat="1" applyFont="1" applyBorder="1" applyAlignment="1">
      <alignment/>
    </xf>
    <xf numFmtId="0" fontId="16" fillId="0" borderId="30" xfId="0" applyFont="1" applyBorder="1" applyAlignment="1">
      <alignment/>
    </xf>
    <xf numFmtId="0" fontId="16" fillId="0" borderId="29" xfId="0" applyFont="1" applyBorder="1" applyAlignment="1">
      <alignment/>
    </xf>
    <xf numFmtId="0" fontId="16" fillId="0" borderId="47" xfId="0" applyFont="1" applyBorder="1" applyAlignment="1">
      <alignment/>
    </xf>
    <xf numFmtId="0" fontId="15" fillId="0" borderId="49" xfId="0" applyFont="1" applyBorder="1" applyAlignment="1">
      <alignment/>
    </xf>
    <xf numFmtId="0" fontId="15" fillId="0" borderId="47" xfId="0" applyFont="1" applyBorder="1" applyAlignment="1">
      <alignment/>
    </xf>
    <xf numFmtId="0" fontId="15" fillId="0" borderId="51" xfId="0" applyFont="1" applyBorder="1" applyAlignment="1">
      <alignment/>
    </xf>
    <xf numFmtId="0" fontId="16" fillId="0" borderId="53" xfId="0" applyFont="1" applyBorder="1" applyAlignment="1">
      <alignment/>
    </xf>
    <xf numFmtId="0" fontId="17" fillId="0" borderId="47" xfId="0" applyFont="1" applyBorder="1" applyAlignment="1">
      <alignment/>
    </xf>
    <xf numFmtId="2" fontId="15" fillId="0" borderId="0" xfId="0" applyNumberFormat="1" applyFont="1" applyBorder="1" applyAlignment="1">
      <alignment/>
    </xf>
    <xf numFmtId="0" fontId="15" fillId="0" borderId="73" xfId="0" applyFont="1" applyBorder="1" applyAlignment="1">
      <alignment horizontal="center"/>
    </xf>
    <xf numFmtId="0" fontId="18" fillId="0" borderId="15" xfId="0" applyFont="1" applyBorder="1" applyAlignment="1">
      <alignment/>
    </xf>
    <xf numFmtId="0" fontId="8" fillId="0" borderId="60" xfId="0" applyFont="1" applyBorder="1" applyAlignment="1">
      <alignment horizontal="center"/>
    </xf>
    <xf numFmtId="0" fontId="4" fillId="0" borderId="3" xfId="0" applyFont="1" applyBorder="1" applyAlignment="1">
      <alignment horizontal="center"/>
    </xf>
    <xf numFmtId="3" fontId="8" fillId="0" borderId="0" xfId="0" applyNumberFormat="1" applyFont="1" applyBorder="1" applyAlignment="1">
      <alignment horizontal="center"/>
    </xf>
    <xf numFmtId="3" fontId="8" fillId="0" borderId="8" xfId="0" applyNumberFormat="1" applyFont="1" applyBorder="1" applyAlignment="1">
      <alignment horizontal="center"/>
    </xf>
    <xf numFmtId="3" fontId="8" fillId="0" borderId="0" xfId="0" applyNumberFormat="1" applyFont="1" applyAlignment="1">
      <alignment horizontal="center"/>
    </xf>
    <xf numFmtId="3" fontId="8" fillId="0" borderId="11" xfId="0" applyNumberFormat="1" applyFont="1" applyBorder="1" applyAlignment="1">
      <alignment horizontal="center"/>
    </xf>
    <xf numFmtId="0" fontId="12" fillId="0" borderId="0" xfId="0" applyFont="1" applyBorder="1" applyAlignment="1">
      <alignment horizontal="center"/>
    </xf>
    <xf numFmtId="0" fontId="11" fillId="0" borderId="2" xfId="0" applyFont="1" applyBorder="1" applyAlignment="1">
      <alignment horizontal="center"/>
    </xf>
    <xf numFmtId="3" fontId="11" fillId="0" borderId="74" xfId="0" applyNumberFormat="1" applyFont="1" applyBorder="1" applyAlignment="1">
      <alignment horizontal="center"/>
    </xf>
    <xf numFmtId="0" fontId="9" fillId="0" borderId="60" xfId="0" applyFont="1" applyBorder="1" applyAlignment="1">
      <alignment horizontal="center"/>
    </xf>
    <xf numFmtId="0" fontId="11" fillId="0" borderId="24" xfId="0" applyFont="1" applyBorder="1" applyAlignment="1">
      <alignment horizontal="center"/>
    </xf>
    <xf numFmtId="0" fontId="8" fillId="0" borderId="24" xfId="0" applyFont="1" applyBorder="1" applyAlignment="1">
      <alignment horizontal="center"/>
    </xf>
    <xf numFmtId="0" fontId="11" fillId="0" borderId="75" xfId="0" applyFont="1" applyBorder="1" applyAlignment="1">
      <alignment horizontal="center"/>
    </xf>
    <xf numFmtId="40" fontId="8" fillId="0" borderId="60" xfId="15" applyFont="1" applyBorder="1" applyAlignment="1">
      <alignment horizontal="center"/>
    </xf>
    <xf numFmtId="0" fontId="7" fillId="0" borderId="2" xfId="0" applyFont="1" applyBorder="1" applyAlignment="1">
      <alignment horizontal="center"/>
    </xf>
    <xf numFmtId="0" fontId="13" fillId="0" borderId="0" xfId="0" applyFont="1" applyAlignment="1">
      <alignment horizontal="center"/>
    </xf>
    <xf numFmtId="3" fontId="15" fillId="0" borderId="0" xfId="0" applyNumberFormat="1" applyFont="1" applyBorder="1" applyAlignment="1">
      <alignment horizontal="right"/>
    </xf>
    <xf numFmtId="0" fontId="19" fillId="0" borderId="0" xfId="0" applyFont="1" applyAlignment="1" quotePrefix="1">
      <alignment horizontal="right"/>
    </xf>
    <xf numFmtId="0" fontId="19" fillId="0" borderId="0" xfId="0" applyFont="1" applyAlignment="1" quotePrefix="1">
      <alignment horizontal="left"/>
    </xf>
    <xf numFmtId="173" fontId="19" fillId="0" borderId="0" xfId="0" applyNumberFormat="1" applyFont="1" applyAlignment="1" quotePrefix="1">
      <alignment horizontal="center"/>
    </xf>
    <xf numFmtId="0" fontId="8" fillId="0" borderId="60" xfId="0" applyFont="1" applyBorder="1" applyAlignment="1">
      <alignment horizontal="center"/>
    </xf>
    <xf numFmtId="0" fontId="8" fillId="0" borderId="37" xfId="0" applyFont="1" applyBorder="1" applyAlignment="1">
      <alignment/>
    </xf>
    <xf numFmtId="0" fontId="0" fillId="0" borderId="2" xfId="0" applyBorder="1" applyAlignment="1">
      <alignment/>
    </xf>
    <xf numFmtId="0" fontId="11" fillId="0" borderId="14" xfId="0" applyFont="1" applyBorder="1" applyAlignment="1">
      <alignment/>
    </xf>
    <xf numFmtId="0" fontId="11" fillId="0" borderId="68" xfId="0" applyFont="1" applyBorder="1" applyAlignment="1">
      <alignment/>
    </xf>
    <xf numFmtId="0" fontId="11" fillId="0" borderId="76" xfId="0" applyFont="1" applyBorder="1" applyAlignment="1">
      <alignment/>
    </xf>
    <xf numFmtId="40" fontId="8" fillId="0" borderId="37" xfId="15" applyFont="1" applyBorder="1" applyAlignment="1">
      <alignment/>
    </xf>
    <xf numFmtId="0" fontId="20" fillId="0" borderId="70" xfId="0" applyFont="1" applyBorder="1" applyAlignment="1">
      <alignment horizontal="center"/>
    </xf>
    <xf numFmtId="0" fontId="21" fillId="0" borderId="60" xfId="0" applyFont="1" applyBorder="1" applyAlignment="1">
      <alignment horizontal="center"/>
    </xf>
    <xf numFmtId="0" fontId="22" fillId="0" borderId="0" xfId="0" applyFont="1" applyBorder="1" applyAlignment="1">
      <alignment/>
    </xf>
    <xf numFmtId="3" fontId="20" fillId="0" borderId="48" xfId="0" applyNumberFormat="1" applyFont="1" applyBorder="1" applyAlignment="1">
      <alignment horizontal="right"/>
    </xf>
    <xf numFmtId="0" fontId="11" fillId="0" borderId="14" xfId="0" applyFont="1" applyBorder="1" applyAlignment="1">
      <alignment horizontal="center"/>
    </xf>
    <xf numFmtId="0" fontId="11" fillId="0" borderId="25" xfId="0" applyFont="1" applyBorder="1" applyAlignment="1">
      <alignment horizontal="center"/>
    </xf>
    <xf numFmtId="0" fontId="12" fillId="0" borderId="0" xfId="0" applyFont="1" applyBorder="1" applyAlignment="1">
      <alignment horizontal="right"/>
    </xf>
    <xf numFmtId="0" fontId="11" fillId="0" borderId="46" xfId="0" applyFont="1" applyBorder="1" applyAlignment="1">
      <alignment/>
    </xf>
    <xf numFmtId="0" fontId="11" fillId="0" borderId="69" xfId="0" applyFont="1" applyBorder="1" applyAlignment="1">
      <alignment/>
    </xf>
    <xf numFmtId="0" fontId="8" fillId="0" borderId="58" xfId="0" applyFont="1" applyBorder="1" applyAlignment="1">
      <alignment horizontal="center"/>
    </xf>
    <xf numFmtId="0" fontId="23" fillId="0" borderId="0" xfId="0" applyFont="1" applyBorder="1" applyAlignment="1">
      <alignment/>
    </xf>
    <xf numFmtId="0" fontId="23" fillId="0" borderId="2" xfId="0" applyFont="1" applyBorder="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133"/>
  <sheetViews>
    <sheetView tabSelected="1" workbookViewId="0" topLeftCell="B31">
      <selection activeCell="J56" sqref="J56"/>
    </sheetView>
  </sheetViews>
  <sheetFormatPr defaultColWidth="9.140625" defaultRowHeight="12.75"/>
  <cols>
    <col min="1" max="1" width="3.8515625" style="3" customWidth="1"/>
    <col min="2" max="2" width="36.28125" style="3" customWidth="1"/>
    <col min="3" max="3" width="8.28125" style="36" customWidth="1"/>
    <col min="4" max="4" width="13.421875" style="3" customWidth="1"/>
    <col min="5" max="6" width="12.421875" style="3" customWidth="1"/>
    <col min="7" max="7" width="12.7109375" style="3" customWidth="1"/>
    <col min="8" max="8" width="13.421875" style="3" customWidth="1"/>
    <col min="9" max="9" width="12.28125" style="3" customWidth="1"/>
    <col min="10" max="10" width="13.140625" style="3" customWidth="1"/>
    <col min="11" max="16384" width="11.421875" style="3" customWidth="1"/>
  </cols>
  <sheetData>
    <row r="1" spans="2:7" ht="23.25">
      <c r="B1" s="42" t="s">
        <v>0</v>
      </c>
      <c r="G1" s="3" t="s">
        <v>1</v>
      </c>
    </row>
    <row r="2" ht="13.5" thickBot="1">
      <c r="B2" s="250"/>
    </row>
    <row r="3" spans="2:14" ht="15.75">
      <c r="B3" s="1" t="s">
        <v>2</v>
      </c>
      <c r="C3" s="212"/>
      <c r="D3" s="4"/>
      <c r="E3" s="4"/>
      <c r="F3" s="4"/>
      <c r="G3" s="4"/>
      <c r="H3" s="4"/>
      <c r="I3" s="4"/>
      <c r="J3" s="4"/>
      <c r="K3" s="189"/>
      <c r="L3" s="5"/>
      <c r="M3" s="188" t="s">
        <v>3</v>
      </c>
      <c r="N3" s="3" t="s">
        <v>4</v>
      </c>
    </row>
    <row r="4" spans="2:14" ht="12.75">
      <c r="B4" s="7"/>
      <c r="C4" s="227">
        <v>0</v>
      </c>
      <c r="D4" s="8" t="s">
        <v>5</v>
      </c>
      <c r="E4" s="8"/>
      <c r="F4" s="8"/>
      <c r="G4" s="208">
        <v>0</v>
      </c>
      <c r="H4" s="8" t="s">
        <v>6</v>
      </c>
      <c r="I4" s="8"/>
      <c r="J4" s="8"/>
      <c r="K4"/>
      <c r="L4" s="9"/>
      <c r="M4" s="188" t="s">
        <v>7</v>
      </c>
      <c r="N4" s="3" t="s">
        <v>8</v>
      </c>
    </row>
    <row r="5" spans="2:14" ht="12.75">
      <c r="B5" s="7"/>
      <c r="C5" s="227">
        <v>0</v>
      </c>
      <c r="D5" s="8" t="s">
        <v>9</v>
      </c>
      <c r="E5" s="8"/>
      <c r="F5" s="8"/>
      <c r="G5" s="208">
        <v>0</v>
      </c>
      <c r="H5" s="8" t="s">
        <v>10</v>
      </c>
      <c r="I5" s="8"/>
      <c r="J5" s="8"/>
      <c r="K5"/>
      <c r="L5" s="9"/>
      <c r="M5" s="36"/>
      <c r="N5" s="3" t="s">
        <v>11</v>
      </c>
    </row>
    <row r="6" spans="2:14" ht="12.75">
      <c r="B6" s="10"/>
      <c r="C6" s="213"/>
      <c r="D6" s="8"/>
      <c r="E6" s="11" t="s">
        <v>12</v>
      </c>
      <c r="F6" s="12" t="e">
        <f>(G4+G5)*60*52/12/(C4-C5)</f>
        <v>#DIV/0!</v>
      </c>
      <c r="G6" s="13" t="s">
        <v>13</v>
      </c>
      <c r="H6" s="14"/>
      <c r="I6" s="14"/>
      <c r="J6" s="8"/>
      <c r="K6"/>
      <c r="L6" s="9"/>
      <c r="M6" s="188" t="s">
        <v>14</v>
      </c>
      <c r="N6" s="3" t="s">
        <v>15</v>
      </c>
    </row>
    <row r="7" spans="2:14" ht="13.5" thickBot="1">
      <c r="B7" s="15"/>
      <c r="C7" s="214"/>
      <c r="D7" s="16"/>
      <c r="E7" s="17"/>
      <c r="F7" s="18"/>
      <c r="G7" s="19"/>
      <c r="H7" s="20"/>
      <c r="I7" s="20"/>
      <c r="J7" s="16"/>
      <c r="K7" s="16"/>
      <c r="L7" s="21"/>
      <c r="M7" s="22" t="s">
        <v>16</v>
      </c>
      <c r="N7" s="23" t="s">
        <v>17</v>
      </c>
    </row>
    <row r="8" spans="2:14" ht="13.5" thickBot="1">
      <c r="B8" s="24"/>
      <c r="C8" s="215"/>
      <c r="E8" s="25"/>
      <c r="F8" s="26"/>
      <c r="G8" s="27"/>
      <c r="H8" s="6"/>
      <c r="I8" s="6"/>
      <c r="M8" s="28" t="s">
        <v>18</v>
      </c>
      <c r="N8" s="3" t="s">
        <v>19</v>
      </c>
    </row>
    <row r="9" spans="2:14" ht="18.75" thickBot="1">
      <c r="B9" s="29" t="s">
        <v>20</v>
      </c>
      <c r="C9" s="216"/>
      <c r="D9" s="30"/>
      <c r="E9" s="31"/>
      <c r="F9" s="32"/>
      <c r="G9" s="33"/>
      <c r="H9" s="195" t="s">
        <v>21</v>
      </c>
      <c r="I9" s="34" t="s">
        <v>22</v>
      </c>
      <c r="J9" s="30"/>
      <c r="K9" s="30"/>
      <c r="L9" s="35"/>
      <c r="M9" s="28" t="s">
        <v>23</v>
      </c>
      <c r="N9" s="3" t="s">
        <v>24</v>
      </c>
    </row>
    <row r="10" ht="13.5" thickBot="1">
      <c r="H10" s="36"/>
    </row>
    <row r="11" spans="2:17" ht="16.5" thickTop="1">
      <c r="B11" s="190" t="s">
        <v>25</v>
      </c>
      <c r="C11" s="39"/>
      <c r="D11" s="38"/>
      <c r="E11" s="38"/>
      <c r="F11" s="38"/>
      <c r="G11" s="38"/>
      <c r="H11" s="39"/>
      <c r="I11" s="38"/>
      <c r="J11" s="38"/>
      <c r="K11" s="38"/>
      <c r="L11" s="40"/>
      <c r="M11" s="8"/>
      <c r="N11" s="134"/>
      <c r="O11" s="38"/>
      <c r="P11" s="38"/>
      <c r="Q11" s="40"/>
    </row>
    <row r="12" spans="2:17" ht="24" customHeight="1">
      <c r="B12" s="41"/>
      <c r="C12" s="48"/>
      <c r="D12" s="248" t="s">
        <v>26</v>
      </c>
      <c r="E12" s="42"/>
      <c r="F12" s="42"/>
      <c r="G12" s="42"/>
      <c r="H12" s="8"/>
      <c r="I12" s="8"/>
      <c r="J12" s="8"/>
      <c r="K12" s="43" t="s">
        <v>27</v>
      </c>
      <c r="L12" s="44"/>
      <c r="M12" s="8"/>
      <c r="N12" s="47" t="s">
        <v>28</v>
      </c>
      <c r="O12" s="8"/>
      <c r="P12" s="8"/>
      <c r="Q12" s="45"/>
    </row>
    <row r="13" spans="2:17" ht="15" customHeight="1" thickBot="1">
      <c r="B13" s="210"/>
      <c r="C13" s="244" t="s">
        <v>29</v>
      </c>
      <c r="D13" s="209">
        <v>1</v>
      </c>
      <c r="E13" s="42"/>
      <c r="F13" s="42"/>
      <c r="G13"/>
      <c r="I13" s="8"/>
      <c r="J13" s="8" t="s">
        <v>30</v>
      </c>
      <c r="K13" s="8"/>
      <c r="L13" s="45"/>
      <c r="N13" s="47" t="s">
        <v>31</v>
      </c>
      <c r="O13" s="48" t="s">
        <v>32</v>
      </c>
      <c r="P13" s="48" t="s">
        <v>33</v>
      </c>
      <c r="Q13" s="49" t="s">
        <v>34</v>
      </c>
    </row>
    <row r="14" spans="2:17" ht="13.5" thickTop="1">
      <c r="B14" s="50"/>
      <c r="C14" s="242"/>
      <c r="D14" s="51" t="s">
        <v>35</v>
      </c>
      <c r="E14" s="52" t="s">
        <v>36</v>
      </c>
      <c r="F14" s="53" t="s">
        <v>37</v>
      </c>
      <c r="G14" s="50" t="s">
        <v>38</v>
      </c>
      <c r="H14" s="50" t="s">
        <v>39</v>
      </c>
      <c r="I14" s="50" t="s">
        <v>40</v>
      </c>
      <c r="J14" s="50" t="s">
        <v>41</v>
      </c>
      <c r="K14" s="54" t="s">
        <v>42</v>
      </c>
      <c r="L14" s="52" t="s">
        <v>43</v>
      </c>
      <c r="N14" s="47" t="s">
        <v>44</v>
      </c>
      <c r="O14" s="36"/>
      <c r="P14" s="48" t="s">
        <v>45</v>
      </c>
      <c r="Q14" s="49"/>
    </row>
    <row r="15" spans="2:17" ht="13.5" thickBot="1">
      <c r="B15" s="55" t="s">
        <v>46</v>
      </c>
      <c r="C15" s="243" t="s">
        <v>47</v>
      </c>
      <c r="D15" s="56" t="s">
        <v>48</v>
      </c>
      <c r="E15" s="56" t="s">
        <v>49</v>
      </c>
      <c r="F15" s="57" t="s">
        <v>50</v>
      </c>
      <c r="G15" s="56" t="s">
        <v>51</v>
      </c>
      <c r="H15" s="56" t="s">
        <v>52</v>
      </c>
      <c r="I15" s="41"/>
      <c r="J15" s="55"/>
      <c r="K15" s="58" t="s">
        <v>52</v>
      </c>
      <c r="L15" s="59"/>
      <c r="N15" s="60"/>
      <c r="O15" s="61"/>
      <c r="P15" s="61"/>
      <c r="Q15" s="62"/>
    </row>
    <row r="16" spans="2:17" ht="13.5" thickTop="1">
      <c r="B16" s="63" t="s">
        <v>53</v>
      </c>
      <c r="C16" s="218"/>
      <c r="D16" s="65"/>
      <c r="E16" s="65"/>
      <c r="F16" s="66"/>
      <c r="G16" s="67"/>
      <c r="H16" s="65"/>
      <c r="I16" s="65"/>
      <c r="J16" s="65"/>
      <c r="K16" s="68"/>
      <c r="L16" s="68"/>
      <c r="N16" s="69"/>
      <c r="O16" s="70"/>
      <c r="P16" s="70"/>
      <c r="Q16" s="45"/>
    </row>
    <row r="17" spans="2:17" ht="12.75">
      <c r="B17" s="71"/>
      <c r="C17" s="165"/>
      <c r="D17" s="72"/>
      <c r="E17" s="72"/>
      <c r="F17" s="73"/>
      <c r="G17" s="72"/>
      <c r="H17" s="72"/>
      <c r="I17" s="72"/>
      <c r="J17" s="72"/>
      <c r="K17" s="74"/>
      <c r="L17" s="74"/>
      <c r="N17" s="69"/>
      <c r="O17" s="70"/>
      <c r="P17" s="70"/>
      <c r="Q17" s="45"/>
    </row>
    <row r="18" spans="2:17" ht="12.75">
      <c r="B18" s="75" t="s">
        <v>54</v>
      </c>
      <c r="C18" s="191" t="str">
        <f>IF($H$9="m","[kg]","[pounds]")</f>
        <v>[pounds]</v>
      </c>
      <c r="D18" s="196">
        <v>0</v>
      </c>
      <c r="E18" s="76">
        <f aca="true" t="shared" si="0" ref="E18:E24">12*D18</f>
        <v>0</v>
      </c>
      <c r="F18" s="77">
        <v>1</v>
      </c>
      <c r="G18" s="76">
        <f>10000/71000*5*E18*IF($H$9="m",1,0.454)</f>
        <v>0</v>
      </c>
      <c r="H18" s="76">
        <f>10000/18000*E18*IF($H$9="m",1,0.454)</f>
        <v>0</v>
      </c>
      <c r="I18" s="78"/>
      <c r="J18" s="78"/>
      <c r="K18" s="79"/>
      <c r="L18" s="80"/>
      <c r="N18" s="69" t="e">
        <f aca="true" t="shared" si="1" ref="N18:N24">+F18*$F$6/60</f>
        <v>#DIV/0!</v>
      </c>
      <c r="O18" s="70"/>
      <c r="P18" s="70"/>
      <c r="Q18" s="45"/>
    </row>
    <row r="19" spans="2:17" ht="12.75">
      <c r="B19" s="75" t="s">
        <v>55</v>
      </c>
      <c r="C19" s="191" t="str">
        <f>IF($H$9="m","[kg]","[pounds]")</f>
        <v>[pounds]</v>
      </c>
      <c r="D19" s="196">
        <v>0</v>
      </c>
      <c r="E19" s="76">
        <f t="shared" si="0"/>
        <v>0</v>
      </c>
      <c r="F19" s="77">
        <v>1</v>
      </c>
      <c r="G19" s="76">
        <f>10000/71000*20*E19*IF($H$9="m",1,0.454)</f>
        <v>0</v>
      </c>
      <c r="H19" s="76">
        <f>10000/2744*0.65*E19*IF($H$9="m",1,0.454)</f>
        <v>0</v>
      </c>
      <c r="I19" s="78"/>
      <c r="J19" s="78"/>
      <c r="K19" s="79"/>
      <c r="L19" s="80"/>
      <c r="N19" s="69" t="e">
        <f t="shared" si="1"/>
        <v>#DIV/0!</v>
      </c>
      <c r="O19" s="70"/>
      <c r="P19" s="70"/>
      <c r="Q19" s="45"/>
    </row>
    <row r="20" spans="2:17" ht="12.75">
      <c r="B20" s="75" t="s">
        <v>56</v>
      </c>
      <c r="C20" s="191" t="str">
        <f>IF($H$9="m","[kg]","[pounds]")</f>
        <v>[pounds]</v>
      </c>
      <c r="D20" s="196">
        <v>0</v>
      </c>
      <c r="E20" s="76">
        <f t="shared" si="0"/>
        <v>0</v>
      </c>
      <c r="F20" s="77">
        <v>1</v>
      </c>
      <c r="G20" s="76">
        <f>10000/71000*10*E20*IF($H$9="m",1,0.454)</f>
        <v>0</v>
      </c>
      <c r="H20" s="76">
        <f>10000/2744*E20*IF($H$9="m",1,0.454)</f>
        <v>0</v>
      </c>
      <c r="I20" s="78"/>
      <c r="J20" s="78"/>
      <c r="K20" s="79"/>
      <c r="L20" s="80"/>
      <c r="N20" s="69" t="e">
        <f t="shared" si="1"/>
        <v>#DIV/0!</v>
      </c>
      <c r="O20" s="70"/>
      <c r="P20" s="70"/>
      <c r="Q20" s="45"/>
    </row>
    <row r="21" spans="2:17" ht="12.75">
      <c r="B21" s="75" t="s">
        <v>57</v>
      </c>
      <c r="C21" s="191" t="str">
        <f>IF($H$9="m","[kg]","[pounds]")</f>
        <v>[pounds]</v>
      </c>
      <c r="D21" s="196">
        <v>0</v>
      </c>
      <c r="E21" s="76">
        <f t="shared" si="0"/>
        <v>0</v>
      </c>
      <c r="F21" s="77">
        <v>1</v>
      </c>
      <c r="G21" s="76">
        <f>10000/71000*10*E21*IF($H$9="m",1,0.454)</f>
        <v>0</v>
      </c>
      <c r="H21" s="76">
        <f>10000/852*E21*IF($H$9="m",1,0.454)</f>
        <v>0</v>
      </c>
      <c r="I21" s="78"/>
      <c r="J21" s="78"/>
      <c r="K21" s="79"/>
      <c r="L21" s="80"/>
      <c r="N21" s="69" t="e">
        <f t="shared" si="1"/>
        <v>#DIV/0!</v>
      </c>
      <c r="O21" s="70"/>
      <c r="P21" s="70"/>
      <c r="Q21" s="45"/>
    </row>
    <row r="22" spans="2:17" ht="12.75">
      <c r="B22" s="75" t="s">
        <v>58</v>
      </c>
      <c r="C22" s="191" t="str">
        <f>IF($H$9="m","[l]","[quart]")</f>
        <v>[quart]</v>
      </c>
      <c r="D22" s="196">
        <v>0</v>
      </c>
      <c r="E22" s="76">
        <f t="shared" si="0"/>
        <v>0</v>
      </c>
      <c r="F22" s="77">
        <v>1</v>
      </c>
      <c r="G22" s="76">
        <f>10000/71000*10*E22*IF($H$9="m",1,2*0.473)</f>
        <v>0</v>
      </c>
      <c r="H22" s="78"/>
      <c r="I22" s="76">
        <f>10000/502*E22*IF($H$9="m",1,2*0.473)</f>
        <v>0</v>
      </c>
      <c r="J22" s="78"/>
      <c r="K22" s="79"/>
      <c r="L22" s="80"/>
      <c r="N22" s="69" t="e">
        <f t="shared" si="1"/>
        <v>#DIV/0!</v>
      </c>
      <c r="O22" s="70"/>
      <c r="P22" s="70"/>
      <c r="Q22" s="45"/>
    </row>
    <row r="23" spans="2:17" ht="12.75">
      <c r="B23" s="75" t="s">
        <v>59</v>
      </c>
      <c r="C23" s="191" t="str">
        <f>IF($H$9="m","[kg]","[pounds]")</f>
        <v>[pounds]</v>
      </c>
      <c r="D23" s="196">
        <v>0</v>
      </c>
      <c r="E23" s="76">
        <f t="shared" si="0"/>
        <v>0</v>
      </c>
      <c r="F23" s="77">
        <v>1</v>
      </c>
      <c r="G23" s="76">
        <f>10000/71000*65*E23*IF($H$9="m",1,0.454)</f>
        <v>0</v>
      </c>
      <c r="H23" s="78"/>
      <c r="I23" s="76">
        <f>10000/50.2*E23*IF($H$9="m",1,0.454)</f>
        <v>0</v>
      </c>
      <c r="J23" s="78"/>
      <c r="K23" s="79"/>
      <c r="L23" s="80"/>
      <c r="N23" s="69" t="e">
        <f t="shared" si="1"/>
        <v>#DIV/0!</v>
      </c>
      <c r="O23" s="70"/>
      <c r="P23" s="70"/>
      <c r="Q23" s="45"/>
    </row>
    <row r="24" spans="2:17" ht="12.75">
      <c r="B24" s="75" t="s">
        <v>60</v>
      </c>
      <c r="C24" s="191" t="s">
        <v>61</v>
      </c>
      <c r="D24" s="196">
        <v>0</v>
      </c>
      <c r="E24" s="76">
        <f t="shared" si="0"/>
        <v>0</v>
      </c>
      <c r="F24" s="77">
        <v>1</v>
      </c>
      <c r="G24" s="76">
        <f>10000/71000*65*E24*IF($H$9="m",1,0.454)</f>
        <v>0</v>
      </c>
      <c r="H24" s="76">
        <f>10000/2744/20*3.5*E24*IF($H$9="m",1,0.454)</f>
        <v>0</v>
      </c>
      <c r="I24" s="78"/>
      <c r="J24" s="78"/>
      <c r="K24" s="79"/>
      <c r="L24" s="80"/>
      <c r="N24" s="69" t="e">
        <f t="shared" si="1"/>
        <v>#DIV/0!</v>
      </c>
      <c r="O24" s="70"/>
      <c r="P24" s="70"/>
      <c r="Q24" s="45"/>
    </row>
    <row r="25" spans="2:17" ht="12.75">
      <c r="B25" s="81" t="s">
        <v>62</v>
      </c>
      <c r="C25" s="191"/>
      <c r="D25" s="197"/>
      <c r="E25" s="76"/>
      <c r="F25" s="83"/>
      <c r="G25" s="84" t="s">
        <v>63</v>
      </c>
      <c r="H25" s="84"/>
      <c r="I25" s="84"/>
      <c r="J25" s="84"/>
      <c r="K25" s="85"/>
      <c r="L25" s="86"/>
      <c r="N25" s="69"/>
      <c r="O25" s="70"/>
      <c r="P25" s="70"/>
      <c r="Q25" s="45"/>
    </row>
    <row r="26" spans="2:17" ht="12.75">
      <c r="B26" s="75" t="s">
        <v>64</v>
      </c>
      <c r="C26" s="191" t="str">
        <f>IF($H$9="m","[kg]","[pounds]")</f>
        <v>[pounds]</v>
      </c>
      <c r="D26" s="196">
        <v>0</v>
      </c>
      <c r="E26" s="76">
        <f aca="true" t="shared" si="2" ref="E26:E32">12*D26</f>
        <v>0</v>
      </c>
      <c r="F26" s="77">
        <v>1</v>
      </c>
      <c r="G26" s="76">
        <f>10000/71000*80*E26*IF($H$9="m",1,0.454)</f>
        <v>0</v>
      </c>
      <c r="H26" s="76">
        <f>10000/2744*6*E26*IF($H$9="m",1,0.454)</f>
        <v>0</v>
      </c>
      <c r="I26" s="78"/>
      <c r="J26" s="78"/>
      <c r="K26" s="79"/>
      <c r="L26" s="80"/>
      <c r="N26" s="69" t="e">
        <f aca="true" t="shared" si="3" ref="N26:N32">+F26*$F$6/60</f>
        <v>#DIV/0!</v>
      </c>
      <c r="O26" s="70"/>
      <c r="P26" s="70"/>
      <c r="Q26" s="45"/>
    </row>
    <row r="27" spans="2:17" ht="12.75">
      <c r="B27" s="75" t="s">
        <v>65</v>
      </c>
      <c r="C27" s="191" t="str">
        <f>IF($H$9="m","[kg]","[pounds]")</f>
        <v>[pounds]</v>
      </c>
      <c r="D27" s="196">
        <v>0</v>
      </c>
      <c r="E27" s="76">
        <f t="shared" si="2"/>
        <v>0</v>
      </c>
      <c r="F27" s="77">
        <v>1</v>
      </c>
      <c r="G27" s="76">
        <f>10000/71000*80*E27*IF($H$9="m",1,0.454)</f>
        <v>0</v>
      </c>
      <c r="H27" s="76">
        <f>10000/2744*3.5*E27*IF($H$9="m",1,0.454)</f>
        <v>0</v>
      </c>
      <c r="I27" s="78"/>
      <c r="J27" s="78"/>
      <c r="K27" s="79"/>
      <c r="L27" s="80"/>
      <c r="N27" s="69" t="e">
        <f t="shared" si="3"/>
        <v>#DIV/0!</v>
      </c>
      <c r="O27" s="70"/>
      <c r="P27" s="70"/>
      <c r="Q27" s="45"/>
    </row>
    <row r="28" spans="2:17" ht="12.75">
      <c r="B28" s="75" t="s">
        <v>66</v>
      </c>
      <c r="C28" s="191" t="str">
        <f>IF($H$9="m","[kg]","[pounds]")</f>
        <v>[pounds]</v>
      </c>
      <c r="D28" s="196">
        <v>0</v>
      </c>
      <c r="E28" s="76">
        <f t="shared" si="2"/>
        <v>0</v>
      </c>
      <c r="F28" s="77">
        <v>1</v>
      </c>
      <c r="G28" s="76">
        <f>10000/71000*80*E28*IF($H$9="m",1,0.454)</f>
        <v>0</v>
      </c>
      <c r="H28" s="76">
        <f>10000/2744*16*E28*IF($H$9="m",1,0.454)</f>
        <v>0</v>
      </c>
      <c r="I28" s="76">
        <f>0.7*10000/33*E28*IF($H$9="m",1,0.454)</f>
        <v>0</v>
      </c>
      <c r="J28" s="78"/>
      <c r="K28" s="79"/>
      <c r="L28" s="80"/>
      <c r="N28" s="69" t="e">
        <f t="shared" si="3"/>
        <v>#DIV/0!</v>
      </c>
      <c r="O28" s="70"/>
      <c r="P28" s="70"/>
      <c r="Q28" s="45"/>
    </row>
    <row r="29" spans="2:17" ht="12.75">
      <c r="B29" s="75" t="s">
        <v>67</v>
      </c>
      <c r="C29" s="191" t="str">
        <f>IF($H$9="m","[kg]","[pounds]")</f>
        <v>[pounds]</v>
      </c>
      <c r="D29" s="196">
        <v>0</v>
      </c>
      <c r="E29" s="76">
        <f t="shared" si="2"/>
        <v>0</v>
      </c>
      <c r="F29" s="77">
        <v>1</v>
      </c>
      <c r="G29" s="76">
        <f>10000/71000*80*E29*IF($H$9="m",1,0.454)</f>
        <v>0</v>
      </c>
      <c r="H29" s="78"/>
      <c r="I29" s="76">
        <f>10000/33*E29*IF($H$9="m",1,0.454)</f>
        <v>0</v>
      </c>
      <c r="J29" s="78"/>
      <c r="K29" s="79"/>
      <c r="L29" s="80"/>
      <c r="N29" s="69" t="e">
        <f t="shared" si="3"/>
        <v>#DIV/0!</v>
      </c>
      <c r="O29" s="70"/>
      <c r="P29" s="70"/>
      <c r="Q29" s="45"/>
    </row>
    <row r="30" spans="2:17" ht="12.75">
      <c r="B30" s="75" t="s">
        <v>68</v>
      </c>
      <c r="C30" s="191" t="str">
        <f>IF($H$9="m","[kg]","[pounds]")</f>
        <v>[pounds]</v>
      </c>
      <c r="D30" s="196">
        <v>0</v>
      </c>
      <c r="E30" s="76">
        <f t="shared" si="2"/>
        <v>0</v>
      </c>
      <c r="F30" s="77">
        <v>1</v>
      </c>
      <c r="G30" s="76">
        <f>10000/71000*100*E30*IF($H$9="m",1,0.454)</f>
        <v>0</v>
      </c>
      <c r="H30" s="78"/>
      <c r="I30" s="78"/>
      <c r="J30" s="78"/>
      <c r="K30" s="79"/>
      <c r="L30" s="80">
        <f>10000/29*1.6*E30*IF($H$9="m",1,0.454)</f>
        <v>0</v>
      </c>
      <c r="N30" s="69" t="e">
        <f t="shared" si="3"/>
        <v>#DIV/0!</v>
      </c>
      <c r="O30" s="70"/>
      <c r="P30" s="70"/>
      <c r="Q30" s="45"/>
    </row>
    <row r="31" spans="2:17" ht="12.75">
      <c r="B31" s="75" t="s">
        <v>69</v>
      </c>
      <c r="C31" s="191" t="str">
        <f>IF($H$9="m","[l]","[quarts]")</f>
        <v>[quarts]</v>
      </c>
      <c r="D31" s="196">
        <v>0</v>
      </c>
      <c r="E31" s="76">
        <f t="shared" si="2"/>
        <v>0</v>
      </c>
      <c r="F31" s="77">
        <v>1</v>
      </c>
      <c r="G31" s="76">
        <f>10000/71000*4*E3*IF($H$9="m",1,2*0.473)</f>
        <v>0</v>
      </c>
      <c r="H31" s="76">
        <f>10000/15000*1.5*E31*IF($H$9="m",1,2*0.473)</f>
        <v>0</v>
      </c>
      <c r="I31" s="78"/>
      <c r="J31" s="78"/>
      <c r="K31" s="79"/>
      <c r="L31" s="80"/>
      <c r="N31" s="69" t="e">
        <f t="shared" si="3"/>
        <v>#DIV/0!</v>
      </c>
      <c r="O31" s="70"/>
      <c r="P31" s="70"/>
      <c r="Q31" s="45"/>
    </row>
    <row r="32" spans="2:17" ht="12.75">
      <c r="B32" s="75" t="s">
        <v>70</v>
      </c>
      <c r="C32" s="191" t="str">
        <f>IF($H$9="m","[kg]","[pounds]")</f>
        <v>[pounds]</v>
      </c>
      <c r="D32" s="196">
        <v>0</v>
      </c>
      <c r="E32" s="76">
        <f t="shared" si="2"/>
        <v>0</v>
      </c>
      <c r="F32" s="77">
        <v>1</v>
      </c>
      <c r="G32" s="76">
        <f>10000/71000*3.85*4.18*E32*IF($H$9="m",1,0.454)</f>
        <v>0</v>
      </c>
      <c r="H32" s="76">
        <f>10000/4893*E32*IF($H$9="m",1,0.454)</f>
        <v>0</v>
      </c>
      <c r="I32" s="78"/>
      <c r="J32" s="78"/>
      <c r="K32" s="79"/>
      <c r="L32" s="80"/>
      <c r="N32" s="69" t="e">
        <f t="shared" si="3"/>
        <v>#DIV/0!</v>
      </c>
      <c r="O32" s="70"/>
      <c r="P32" s="70"/>
      <c r="Q32" s="45"/>
    </row>
    <row r="33" spans="2:17" ht="12.75">
      <c r="B33" s="81" t="s">
        <v>71</v>
      </c>
      <c r="C33" s="191"/>
      <c r="D33" s="197"/>
      <c r="E33" s="76"/>
      <c r="F33" s="83"/>
      <c r="G33" s="84"/>
      <c r="H33" s="84"/>
      <c r="I33" s="84"/>
      <c r="J33" s="84"/>
      <c r="K33" s="85"/>
      <c r="L33" s="86"/>
      <c r="N33" s="69"/>
      <c r="O33" s="70"/>
      <c r="P33" s="70"/>
      <c r="Q33" s="45"/>
    </row>
    <row r="34" spans="2:17" ht="12.75">
      <c r="B34" s="75" t="s">
        <v>72</v>
      </c>
      <c r="C34" s="191" t="str">
        <f>IF($H$9="m","[kg]","[pounds]")</f>
        <v>[pounds]</v>
      </c>
      <c r="D34" s="196">
        <v>0</v>
      </c>
      <c r="E34" s="76">
        <f>12*D34</f>
        <v>0</v>
      </c>
      <c r="F34" s="77">
        <v>1</v>
      </c>
      <c r="G34" s="76">
        <f>10000/71000*39*E34*IF($H$9="m",1,0.454)</f>
        <v>0</v>
      </c>
      <c r="H34" s="76">
        <f>10000/1856*E34*IF($H$9="m",1,0.454)</f>
        <v>0</v>
      </c>
      <c r="I34" s="78"/>
      <c r="J34" s="78"/>
      <c r="K34" s="79"/>
      <c r="L34" s="80"/>
      <c r="N34" s="69" t="e">
        <f>+F34*$F$6/60</f>
        <v>#DIV/0!</v>
      </c>
      <c r="O34" s="70"/>
      <c r="P34" s="70"/>
      <c r="Q34" s="45"/>
    </row>
    <row r="35" spans="2:17" ht="12.75">
      <c r="B35" s="75" t="s">
        <v>73</v>
      </c>
      <c r="C35" s="191" t="str">
        <f>IF($H$9="m","[l]","[quarts]")</f>
        <v>[quarts]</v>
      </c>
      <c r="D35" s="196">
        <v>0</v>
      </c>
      <c r="E35" s="76">
        <f>12*D35</f>
        <v>0</v>
      </c>
      <c r="F35" s="77">
        <v>1</v>
      </c>
      <c r="G35" s="76">
        <f>10000/71000*39*0.8*E35*IF($H$9="m",1,2*0.473)</f>
        <v>0</v>
      </c>
      <c r="H35" s="76">
        <f>10000/1856*0.8*E35*IF($H$9="m",1,2*0.473)</f>
        <v>0</v>
      </c>
      <c r="I35" s="78"/>
      <c r="J35" s="78"/>
      <c r="K35" s="79"/>
      <c r="L35" s="80"/>
      <c r="N35" s="69" t="e">
        <f>+F35*$F$6/60</f>
        <v>#DIV/0!</v>
      </c>
      <c r="O35" s="70"/>
      <c r="P35" s="70"/>
      <c r="Q35" s="45"/>
    </row>
    <row r="36" spans="2:17" ht="12.75">
      <c r="B36" s="75" t="s">
        <v>74</v>
      </c>
      <c r="C36" s="191" t="str">
        <f>IF($H$9="m","[kg]","[pounds]")</f>
        <v>[pounds]</v>
      </c>
      <c r="D36" s="196">
        <v>0</v>
      </c>
      <c r="E36" s="76">
        <f>12*D36</f>
        <v>0</v>
      </c>
      <c r="F36" s="77">
        <v>1</v>
      </c>
      <c r="G36" s="76">
        <f>10000/71000*18*4.18*E36*IF($H$9="m",1,0.454)</f>
        <v>0</v>
      </c>
      <c r="H36" s="76">
        <f>10000/566*E36*IF($H$9="m",1,0.454)</f>
        <v>0</v>
      </c>
      <c r="I36" s="78"/>
      <c r="J36" s="78"/>
      <c r="K36" s="79"/>
      <c r="L36" s="80"/>
      <c r="N36" s="69" t="e">
        <f>+F36*$F$6/60</f>
        <v>#DIV/0!</v>
      </c>
      <c r="O36" s="70"/>
      <c r="P36" s="70"/>
      <c r="Q36" s="45"/>
    </row>
    <row r="37" spans="2:17" ht="12.75">
      <c r="B37" s="75" t="s">
        <v>75</v>
      </c>
      <c r="C37" s="191" t="str">
        <f>IF($H$9="m","[m2]","[sqr ft]")</f>
        <v>[sqr ft]</v>
      </c>
      <c r="D37" s="197">
        <v>0</v>
      </c>
      <c r="E37" s="76">
        <f>D37</f>
        <v>0</v>
      </c>
      <c r="F37" s="83"/>
      <c r="G37" s="82"/>
      <c r="H37" s="76">
        <f>E37*IF($H$9="m",1,0.3048*0.3048)</f>
        <v>0</v>
      </c>
      <c r="I37" s="84"/>
      <c r="J37" s="84"/>
      <c r="K37" s="85"/>
      <c r="L37" s="86"/>
      <c r="N37" s="69"/>
      <c r="O37" s="70"/>
      <c r="P37" s="70"/>
      <c r="Q37" s="45"/>
    </row>
    <row r="38" spans="2:17" ht="13.5" thickBot="1">
      <c r="B38" s="75" t="s">
        <v>76</v>
      </c>
      <c r="C38" s="211" t="s">
        <v>61</v>
      </c>
      <c r="D38" s="198">
        <v>0</v>
      </c>
      <c r="E38" s="76">
        <f>12*D38</f>
        <v>0</v>
      </c>
      <c r="F38" s="88">
        <v>1</v>
      </c>
      <c r="G38" s="87">
        <f>10000/71000*20*E38</f>
        <v>0</v>
      </c>
      <c r="H38" s="87">
        <f>58/12*E38</f>
        <v>0</v>
      </c>
      <c r="I38" s="87">
        <f>273/12*E38</f>
        <v>0</v>
      </c>
      <c r="J38" s="89"/>
      <c r="K38" s="90"/>
      <c r="L38" s="91"/>
      <c r="N38" s="69" t="e">
        <f>+F38*$F$6/60</f>
        <v>#DIV/0!</v>
      </c>
      <c r="O38" s="70"/>
      <c r="P38" s="70"/>
      <c r="Q38" s="45"/>
    </row>
    <row r="39" spans="2:17" ht="13.5" thickBot="1">
      <c r="B39" s="192" t="s">
        <v>77</v>
      </c>
      <c r="C39" s="219"/>
      <c r="D39" s="199"/>
      <c r="E39" s="93"/>
      <c r="F39" s="94">
        <f aca="true" t="shared" si="4" ref="F39:L39">+SUM(F18:F38)</f>
        <v>18</v>
      </c>
      <c r="G39" s="78">
        <f t="shared" si="4"/>
        <v>0</v>
      </c>
      <c r="H39" s="78">
        <f t="shared" si="4"/>
        <v>0</v>
      </c>
      <c r="I39" s="78">
        <f t="shared" si="4"/>
        <v>0</v>
      </c>
      <c r="J39" s="78">
        <f t="shared" si="4"/>
        <v>0</v>
      </c>
      <c r="K39" s="79">
        <f t="shared" si="4"/>
        <v>0</v>
      </c>
      <c r="L39" s="80">
        <f t="shared" si="4"/>
        <v>0</v>
      </c>
      <c r="N39" s="95" t="e">
        <f>+F39*$F$6/60</f>
        <v>#DIV/0!</v>
      </c>
      <c r="O39" s="70"/>
      <c r="P39" s="70"/>
      <c r="Q39" s="45"/>
    </row>
    <row r="40" spans="2:17" ht="13.5" thickTop="1">
      <c r="B40" s="63" t="s">
        <v>78</v>
      </c>
      <c r="C40" s="165"/>
      <c r="D40" s="200"/>
      <c r="E40" s="96"/>
      <c r="F40" s="97"/>
      <c r="G40" s="98"/>
      <c r="H40" s="98"/>
      <c r="I40" s="98"/>
      <c r="J40" s="98"/>
      <c r="K40" s="99"/>
      <c r="L40" s="100"/>
      <c r="M40" s="8"/>
      <c r="N40" s="69"/>
      <c r="O40" s="70"/>
      <c r="P40" s="70"/>
      <c r="Q40" s="45"/>
    </row>
    <row r="41" spans="2:17" ht="12.75">
      <c r="B41" s="41"/>
      <c r="C41" s="48"/>
      <c r="D41" s="201"/>
      <c r="E41" s="101"/>
      <c r="F41" s="102"/>
      <c r="G41" s="103"/>
      <c r="H41" s="103"/>
      <c r="I41" s="103"/>
      <c r="J41" s="103"/>
      <c r="K41" s="104"/>
      <c r="L41" s="105"/>
      <c r="N41" s="69"/>
      <c r="O41" s="70"/>
      <c r="P41" s="70"/>
      <c r="Q41" s="45"/>
    </row>
    <row r="42" spans="2:17" ht="12.75">
      <c r="B42" s="81" t="s">
        <v>79</v>
      </c>
      <c r="C42" s="220"/>
      <c r="D42" s="202"/>
      <c r="E42" s="106"/>
      <c r="F42" s="107"/>
      <c r="G42" s="108"/>
      <c r="H42" s="108"/>
      <c r="I42" s="108"/>
      <c r="J42" s="108"/>
      <c r="K42" s="241" t="s">
        <v>80</v>
      </c>
      <c r="L42" s="109"/>
      <c r="N42" s="69"/>
      <c r="O42" s="70"/>
      <c r="P42" s="70"/>
      <c r="Q42" s="45"/>
    </row>
    <row r="43" spans="2:17" ht="12.75">
      <c r="B43" s="75" t="s">
        <v>81</v>
      </c>
      <c r="C43" s="191" t="str">
        <f>IF($H$9="m","[m2]","[sqr ft]")</f>
        <v>[sqr ft]</v>
      </c>
      <c r="D43" s="203">
        <v>0</v>
      </c>
      <c r="E43" s="110">
        <f>D43</f>
        <v>0</v>
      </c>
      <c r="F43" s="77">
        <v>1</v>
      </c>
      <c r="G43" s="76">
        <f>10000/71*1310/350/70*E43*IF($H$9="m",1,0.3048*0.3048)</f>
        <v>0</v>
      </c>
      <c r="H43" s="111"/>
      <c r="I43" s="111"/>
      <c r="J43" s="111" t="s">
        <v>63</v>
      </c>
      <c r="K43" s="112">
        <f>1*D43*IF($H$9="m",1,0.3048*0.3048)</f>
        <v>0</v>
      </c>
      <c r="L43" s="112"/>
      <c r="N43" s="69" t="e">
        <f>+F43*$F$6/60</f>
        <v>#DIV/0!</v>
      </c>
      <c r="O43" s="70"/>
      <c r="P43" s="70"/>
      <c r="Q43" s="45"/>
    </row>
    <row r="44" spans="2:17" ht="12.75">
      <c r="B44" s="75" t="s">
        <v>82</v>
      </c>
      <c r="C44" s="191" t="str">
        <f>IF($H$9="m","[m2]","[sqr ft]")</f>
        <v>[sqr ft]</v>
      </c>
      <c r="D44" s="203">
        <v>0</v>
      </c>
      <c r="E44" s="110">
        <f>D44</f>
        <v>0</v>
      </c>
      <c r="F44" s="77">
        <v>1</v>
      </c>
      <c r="G44" s="76">
        <f>10000/71*1310/350/40*E44*IF($H$9="m",1,0.3048*0.3048)</f>
        <v>0</v>
      </c>
      <c r="H44" s="111"/>
      <c r="I44" s="193"/>
      <c r="J44" s="113">
        <f>10000/1.99*23.6*2/150/40*E44*IF($H$9="m",1,0.3048*0.3048)</f>
        <v>0</v>
      </c>
      <c r="K44" s="112">
        <f>1*D44*IF($H$9="m",1,0.3048*0.3048)</f>
        <v>0</v>
      </c>
      <c r="L44" s="112"/>
      <c r="N44" s="69" t="e">
        <f>+F44*$F$6/60</f>
        <v>#DIV/0!</v>
      </c>
      <c r="O44" s="70"/>
      <c r="P44" s="70"/>
      <c r="Q44" s="45"/>
    </row>
    <row r="45" spans="2:17" ht="12.75">
      <c r="B45" s="114" t="s">
        <v>83</v>
      </c>
      <c r="C45" s="211" t="str">
        <f>IF($H$9="m","[m2]","[sqr ft]")</f>
        <v>[sqr ft]</v>
      </c>
      <c r="D45" s="204">
        <v>0</v>
      </c>
      <c r="E45" s="110">
        <f>D45</f>
        <v>0</v>
      </c>
      <c r="F45" s="83">
        <v>1</v>
      </c>
      <c r="G45" s="82"/>
      <c r="H45" s="116">
        <f>1*E45*IF($H$9="m",1,0.3048*0.3048)</f>
        <v>0</v>
      </c>
      <c r="I45" s="24"/>
      <c r="J45" s="116"/>
      <c r="K45" s="109"/>
      <c r="L45" s="109"/>
      <c r="N45" s="69" t="e">
        <f>+F45*$F$6/60</f>
        <v>#DIV/0!</v>
      </c>
      <c r="O45" s="70"/>
      <c r="P45" s="70"/>
      <c r="Q45" s="45"/>
    </row>
    <row r="46" spans="2:17" ht="12.75">
      <c r="B46" s="81" t="s">
        <v>84</v>
      </c>
      <c r="C46" s="220"/>
      <c r="D46" s="207"/>
      <c r="E46" s="110"/>
      <c r="F46" s="83"/>
      <c r="G46" s="108"/>
      <c r="H46" s="108"/>
      <c r="I46" s="108"/>
      <c r="J46" s="108"/>
      <c r="K46" s="117"/>
      <c r="L46" s="109"/>
      <c r="N46" s="69"/>
      <c r="O46" s="70"/>
      <c r="P46" s="70"/>
      <c r="Q46" s="45"/>
    </row>
    <row r="47" spans="2:17" ht="12.75">
      <c r="B47" s="75" t="s">
        <v>85</v>
      </c>
      <c r="C47" s="191" t="s">
        <v>86</v>
      </c>
      <c r="D47" s="203">
        <v>0</v>
      </c>
      <c r="E47" s="110">
        <f>12*D47</f>
        <v>0</v>
      </c>
      <c r="F47" s="77">
        <v>1</v>
      </c>
      <c r="G47" s="76">
        <f>10000/71000*3.6/0.3*E47</f>
        <v>0</v>
      </c>
      <c r="H47" s="111"/>
      <c r="I47" s="111"/>
      <c r="J47" s="111"/>
      <c r="K47" s="118"/>
      <c r="L47" s="112"/>
      <c r="N47" s="69" t="e">
        <f>+F47*$F$6/60</f>
        <v>#DIV/0!</v>
      </c>
      <c r="O47" s="70"/>
      <c r="P47" s="70"/>
      <c r="Q47" s="45"/>
    </row>
    <row r="48" spans="2:17" ht="12.75">
      <c r="B48" s="75" t="s">
        <v>87</v>
      </c>
      <c r="C48" s="191" t="s">
        <v>86</v>
      </c>
      <c r="D48" s="203">
        <v>0</v>
      </c>
      <c r="E48" s="110">
        <f>12*D48</f>
        <v>0</v>
      </c>
      <c r="F48" s="77">
        <v>1</v>
      </c>
      <c r="G48" s="111"/>
      <c r="H48" s="113">
        <f>10000/200000*3.6*E48</f>
        <v>0</v>
      </c>
      <c r="I48" s="113"/>
      <c r="J48" s="111"/>
      <c r="K48" s="118"/>
      <c r="L48" s="112"/>
      <c r="N48" s="69" t="e">
        <f>+F48*$F$6/60</f>
        <v>#DIV/0!</v>
      </c>
      <c r="O48" s="70"/>
      <c r="P48" s="70"/>
      <c r="Q48" s="45"/>
    </row>
    <row r="49" spans="2:17" ht="12.75">
      <c r="B49" s="75" t="s">
        <v>88</v>
      </c>
      <c r="C49" s="191" t="s">
        <v>86</v>
      </c>
      <c r="D49" s="203">
        <v>0</v>
      </c>
      <c r="E49" s="110">
        <f>12*D49</f>
        <v>0</v>
      </c>
      <c r="F49" s="77">
        <v>1</v>
      </c>
      <c r="G49" s="111"/>
      <c r="H49" s="111"/>
      <c r="I49" s="113">
        <f>10000/15000000*3.6*E49</f>
        <v>0</v>
      </c>
      <c r="J49" s="111"/>
      <c r="K49" s="118"/>
      <c r="L49" s="112"/>
      <c r="N49" s="69" t="e">
        <f>+F49*$F$6/60</f>
        <v>#DIV/0!</v>
      </c>
      <c r="O49" s="70"/>
      <c r="P49" s="70"/>
      <c r="Q49" s="45"/>
    </row>
    <row r="50" spans="2:17" ht="12.75">
      <c r="B50" s="81" t="s">
        <v>89</v>
      </c>
      <c r="C50" s="220"/>
      <c r="D50" s="204"/>
      <c r="E50" s="115"/>
      <c r="F50" s="83"/>
      <c r="G50" s="108"/>
      <c r="H50" s="108"/>
      <c r="I50" s="108"/>
      <c r="J50" s="108"/>
      <c r="K50" s="117"/>
      <c r="L50" s="109"/>
      <c r="N50" s="69"/>
      <c r="O50" s="70"/>
      <c r="P50" s="70"/>
      <c r="Q50" s="45"/>
    </row>
    <row r="51" spans="2:17" ht="12.75">
      <c r="B51" s="232" t="s">
        <v>90</v>
      </c>
      <c r="C51" s="231" t="str">
        <f>IF($H$9="m","[m3]","[cub.ft]")</f>
        <v>[cub.ft]</v>
      </c>
      <c r="D51" s="203">
        <v>0</v>
      </c>
      <c r="E51" s="110">
        <f>12*D51</f>
        <v>0</v>
      </c>
      <c r="F51" s="77">
        <v>1</v>
      </c>
      <c r="G51" s="76">
        <f>10000/93000*8.905*4.184*E52*IF($H$9="m",1,0.3048^3)</f>
        <v>0</v>
      </c>
      <c r="H51" s="108"/>
      <c r="I51" s="108"/>
      <c r="J51" s="108"/>
      <c r="K51" s="117"/>
      <c r="L51" s="109"/>
      <c r="N51" s="69" t="e">
        <f>+F51*$F$6/60</f>
        <v>#DIV/0!</v>
      </c>
      <c r="O51" s="70"/>
      <c r="P51" s="70"/>
      <c r="Q51" s="45"/>
    </row>
    <row r="52" spans="2:17" ht="12.75">
      <c r="B52" s="232" t="s">
        <v>91</v>
      </c>
      <c r="C52" s="191" t="str">
        <f>IF($H$9="m","[kg]","[pounds]")</f>
        <v>[pounds]</v>
      </c>
      <c r="D52" s="203">
        <v>0</v>
      </c>
      <c r="E52" s="110">
        <f>12*D52</f>
        <v>0</v>
      </c>
      <c r="F52" s="77">
        <v>1</v>
      </c>
      <c r="G52" s="76">
        <f>10000/93000*40*E52*IF($H$9="m",1,0.454)</f>
        <v>0</v>
      </c>
      <c r="H52" s="108"/>
      <c r="I52" s="108"/>
      <c r="J52" s="108"/>
      <c r="K52" s="117"/>
      <c r="L52" s="109"/>
      <c r="N52" s="69" t="e">
        <f>+F52*$F$6/60</f>
        <v>#DIV/0!</v>
      </c>
      <c r="O52" s="70"/>
      <c r="P52" s="70"/>
      <c r="Q52" s="45"/>
    </row>
    <row r="53" spans="2:17" ht="12.75">
      <c r="B53" s="81" t="s">
        <v>92</v>
      </c>
      <c r="C53" s="220"/>
      <c r="D53" s="203"/>
      <c r="E53" s="110"/>
      <c r="F53" s="77"/>
      <c r="G53" s="76"/>
      <c r="H53" s="108"/>
      <c r="I53" s="108"/>
      <c r="J53" s="108"/>
      <c r="K53" s="117"/>
      <c r="L53" s="109"/>
      <c r="N53" s="69"/>
      <c r="O53" s="70"/>
      <c r="P53" s="70"/>
      <c r="Q53" s="45"/>
    </row>
    <row r="54" spans="2:17" ht="12.75">
      <c r="B54" s="75" t="s">
        <v>93</v>
      </c>
      <c r="C54" s="191" t="str">
        <f>IF($H$9="m","[l]","[gallons]")</f>
        <v>[gallons]</v>
      </c>
      <c r="D54" s="203">
        <v>0</v>
      </c>
      <c r="E54" s="110">
        <f aca="true" t="shared" si="5" ref="E54:E59">12*D54</f>
        <v>0</v>
      </c>
      <c r="F54" s="77">
        <v>1</v>
      </c>
      <c r="G54" s="76">
        <f>10000/71000*35*E54*IF($H$9="m",1,8*0.473)</f>
        <v>0</v>
      </c>
      <c r="H54" s="111"/>
      <c r="I54" s="111"/>
      <c r="J54" s="111"/>
      <c r="K54" s="118"/>
      <c r="L54" s="112"/>
      <c r="N54" s="69" t="e">
        <f aca="true" t="shared" si="6" ref="N54:N60">+F54*$F$6/60</f>
        <v>#DIV/0!</v>
      </c>
      <c r="O54" s="70"/>
      <c r="P54" s="70"/>
      <c r="Q54" s="45"/>
    </row>
    <row r="55" spans="2:17" ht="12.75">
      <c r="B55" s="75" t="s">
        <v>94</v>
      </c>
      <c r="C55" s="191" t="str">
        <f>IF($H$9="m","[kg]","[pounds]")</f>
        <v>[pounds]</v>
      </c>
      <c r="D55" s="203">
        <v>0</v>
      </c>
      <c r="E55" s="110">
        <f t="shared" si="5"/>
        <v>0</v>
      </c>
      <c r="F55" s="77">
        <v>1</v>
      </c>
      <c r="G55" s="76">
        <f>10000/71000*35/0.8*E55*IF($H$9="m",1,0.454)</f>
        <v>0</v>
      </c>
      <c r="H55" s="111"/>
      <c r="I55" s="111"/>
      <c r="J55" s="111" t="s">
        <v>63</v>
      </c>
      <c r="K55" s="118"/>
      <c r="L55" s="112"/>
      <c r="N55" s="69" t="e">
        <f t="shared" si="6"/>
        <v>#DIV/0!</v>
      </c>
      <c r="O55" s="70"/>
      <c r="P55" s="70"/>
      <c r="Q55" s="45"/>
    </row>
    <row r="56" spans="2:17" ht="12.75">
      <c r="B56" s="75" t="s">
        <v>95</v>
      </c>
      <c r="C56" s="231" t="str">
        <f>IF($H$9="m","[m3]","[gallons]")</f>
        <v>[gallons]</v>
      </c>
      <c r="D56" s="203">
        <v>0</v>
      </c>
      <c r="E56" s="110">
        <f t="shared" si="5"/>
        <v>0</v>
      </c>
      <c r="F56" s="77">
        <v>1</v>
      </c>
      <c r="G56" s="111"/>
      <c r="H56" s="111"/>
      <c r="I56" s="111"/>
      <c r="J56" s="113">
        <f>10000/1500*E56*IF($H$9="m",1,0.00378)</f>
        <v>0</v>
      </c>
      <c r="K56" s="118"/>
      <c r="L56" s="112"/>
      <c r="N56" s="69" t="e">
        <f t="shared" si="6"/>
        <v>#DIV/0!</v>
      </c>
      <c r="O56" s="70"/>
      <c r="P56" s="70"/>
      <c r="Q56" s="45"/>
    </row>
    <row r="57" spans="2:17" ht="12.75">
      <c r="B57" s="75" t="s">
        <v>96</v>
      </c>
      <c r="C57" s="191" t="str">
        <f>IF($H$9="m","[kg]","[pounds]")</f>
        <v>[pounds]</v>
      </c>
      <c r="D57" s="203">
        <v>0</v>
      </c>
      <c r="E57" s="110">
        <f t="shared" si="5"/>
        <v>0</v>
      </c>
      <c r="F57" s="77">
        <v>1</v>
      </c>
      <c r="G57" s="84"/>
      <c r="H57" s="116">
        <f>10000/(2744*2)*E20*IF($H$9="m",1,0.454)</f>
        <v>0</v>
      </c>
      <c r="I57" s="108"/>
      <c r="J57" s="116"/>
      <c r="K57" s="117"/>
      <c r="L57" s="109"/>
      <c r="N57" s="69" t="e">
        <f t="shared" si="6"/>
        <v>#DIV/0!</v>
      </c>
      <c r="O57" s="70"/>
      <c r="P57" s="70"/>
      <c r="Q57" s="45"/>
    </row>
    <row r="58" spans="2:17" ht="12.75">
      <c r="B58" s="75" t="s">
        <v>97</v>
      </c>
      <c r="C58" s="191" t="str">
        <f>IF($H$9="m","[kg]","[pounds]")</f>
        <v>[pounds]</v>
      </c>
      <c r="D58" s="203">
        <v>0</v>
      </c>
      <c r="E58" s="110">
        <f t="shared" si="5"/>
        <v>0</v>
      </c>
      <c r="F58" s="77">
        <v>1</v>
      </c>
      <c r="G58" s="84"/>
      <c r="H58" s="108"/>
      <c r="I58" s="108"/>
      <c r="J58" s="116">
        <f>10000/(1.99*600)*0.53*E58*IF($H$9="m",1,0.454)</f>
        <v>0</v>
      </c>
      <c r="K58" s="117"/>
      <c r="L58" s="109"/>
      <c r="N58" s="69" t="e">
        <f t="shared" si="6"/>
        <v>#DIV/0!</v>
      </c>
      <c r="O58" s="70"/>
      <c r="P58" s="70"/>
      <c r="Q58" s="45"/>
    </row>
    <row r="59" spans="2:17" ht="13.5" thickBot="1">
      <c r="B59" s="114" t="s">
        <v>98</v>
      </c>
      <c r="C59" s="211" t="str">
        <f>IF($H$9="m","[kg]","[pounds]")</f>
        <v>[pounds]</v>
      </c>
      <c r="D59" s="205">
        <v>0</v>
      </c>
      <c r="E59" s="120">
        <f t="shared" si="5"/>
        <v>0</v>
      </c>
      <c r="F59" s="88">
        <v>1</v>
      </c>
      <c r="G59" s="87">
        <f>10000/71000*5*E59</f>
        <v>0</v>
      </c>
      <c r="H59" s="121"/>
      <c r="I59" s="121"/>
      <c r="J59" s="122">
        <f>10000/(1.99*600)*E59*IF($H$9="m",1,0.454)</f>
        <v>0</v>
      </c>
      <c r="K59" s="123"/>
      <c r="L59" s="124"/>
      <c r="N59" s="69" t="e">
        <f t="shared" si="6"/>
        <v>#DIV/0!</v>
      </c>
      <c r="O59" s="70"/>
      <c r="P59" s="70"/>
      <c r="Q59" s="45"/>
    </row>
    <row r="60" spans="2:17" ht="13.5" thickBot="1">
      <c r="B60" s="194" t="s">
        <v>99</v>
      </c>
      <c r="C60" s="223"/>
      <c r="D60" s="206"/>
      <c r="E60" s="126"/>
      <c r="F60" s="127">
        <f aca="true" t="shared" si="7" ref="F60:L60">+SUM(F43:F59)</f>
        <v>14</v>
      </c>
      <c r="G60" s="92">
        <f t="shared" si="7"/>
        <v>0</v>
      </c>
      <c r="H60" s="92">
        <f t="shared" si="7"/>
        <v>0</v>
      </c>
      <c r="I60" s="92">
        <f t="shared" si="7"/>
        <v>0</v>
      </c>
      <c r="J60" s="92">
        <f t="shared" si="7"/>
        <v>0</v>
      </c>
      <c r="K60" s="128">
        <f t="shared" si="7"/>
        <v>0</v>
      </c>
      <c r="L60" s="129">
        <f t="shared" si="7"/>
        <v>0</v>
      </c>
      <c r="N60" s="95" t="e">
        <f t="shared" si="6"/>
        <v>#DIV/0!</v>
      </c>
      <c r="O60" s="70"/>
      <c r="P60" s="70"/>
      <c r="Q60" s="45"/>
    </row>
    <row r="61" spans="2:17" ht="13.5" thickTop="1">
      <c r="B61" s="71" t="s">
        <v>100</v>
      </c>
      <c r="C61" s="165"/>
      <c r="D61" s="201"/>
      <c r="E61" s="101"/>
      <c r="F61" s="102"/>
      <c r="G61" s="103"/>
      <c r="H61" s="103"/>
      <c r="I61" s="103"/>
      <c r="J61" s="103"/>
      <c r="K61" s="104"/>
      <c r="L61" s="105"/>
      <c r="N61" s="69"/>
      <c r="O61" s="70"/>
      <c r="P61" s="70"/>
      <c r="Q61" s="45"/>
    </row>
    <row r="62" spans="2:17" ht="12.75">
      <c r="B62" s="71"/>
      <c r="C62" s="165"/>
      <c r="D62" s="201"/>
      <c r="E62" s="101"/>
      <c r="F62" s="102"/>
      <c r="G62" s="103"/>
      <c r="H62" s="103"/>
      <c r="I62" s="103"/>
      <c r="J62" s="103"/>
      <c r="K62" s="104"/>
      <c r="L62" s="105"/>
      <c r="N62" s="69"/>
      <c r="O62" s="70"/>
      <c r="P62" s="70"/>
      <c r="Q62" s="45"/>
    </row>
    <row r="63" spans="2:17" ht="12.75">
      <c r="B63" s="75" t="s">
        <v>101</v>
      </c>
      <c r="C63" s="238" t="str">
        <f>IF($H$9="m","[pers.*km]","[pers*miles]")</f>
        <v>[pers*miles]</v>
      </c>
      <c r="D63" s="203">
        <v>0</v>
      </c>
      <c r="E63" s="110">
        <f>12*D63</f>
        <v>0</v>
      </c>
      <c r="F63" s="77">
        <v>1</v>
      </c>
      <c r="G63" s="76">
        <f>10000/71000*1*E63*IF($H$9="m",1,1.609)</f>
        <v>0</v>
      </c>
      <c r="H63" s="111"/>
      <c r="I63" s="111"/>
      <c r="J63" s="111"/>
      <c r="K63" s="112">
        <f>0.002*E63</f>
        <v>0</v>
      </c>
      <c r="L63" s="112"/>
      <c r="N63" s="69" t="e">
        <f aca="true" t="shared" si="8" ref="N63:N68">+F63*$F$6/60</f>
        <v>#DIV/0!</v>
      </c>
      <c r="O63" s="70"/>
      <c r="P63" s="70"/>
      <c r="Q63" s="45"/>
    </row>
    <row r="64" spans="2:17" ht="12.75">
      <c r="B64" s="75" t="s">
        <v>102</v>
      </c>
      <c r="C64" s="191" t="str">
        <f>IF($H$9="m","[km]","[miles]")</f>
        <v>[miles]</v>
      </c>
      <c r="D64" s="203">
        <v>0</v>
      </c>
      <c r="E64" s="110">
        <f>12*D64</f>
        <v>0</v>
      </c>
      <c r="F64" s="77">
        <v>1</v>
      </c>
      <c r="G64" s="76">
        <f>10000/71000*4*E64*IF($H$9="m",1,1.609)</f>
        <v>0</v>
      </c>
      <c r="H64" s="111"/>
      <c r="I64" s="111"/>
      <c r="J64" s="111"/>
      <c r="K64" s="112">
        <f>0.05*E64</f>
        <v>0</v>
      </c>
      <c r="L64" s="112"/>
      <c r="N64" s="69" t="e">
        <f t="shared" si="8"/>
        <v>#DIV/0!</v>
      </c>
      <c r="O64" s="70"/>
      <c r="P64" s="70"/>
      <c r="Q64" s="45"/>
    </row>
    <row r="65" spans="2:17" ht="12.75">
      <c r="B65" s="75" t="s">
        <v>103</v>
      </c>
      <c r="C65" s="191" t="str">
        <f>IF($H$9="m","[l]","[gallons]")</f>
        <v>[gallons]</v>
      </c>
      <c r="D65" s="203">
        <v>0</v>
      </c>
      <c r="E65" s="110">
        <f>12*D65</f>
        <v>0</v>
      </c>
      <c r="F65" s="77">
        <v>1</v>
      </c>
      <c r="G65" s="76">
        <f>10000/71000*35*1.5*E65*IF($H$9="m",1,2*0.473)</f>
        <v>0</v>
      </c>
      <c r="H65" s="111"/>
      <c r="I65" s="111"/>
      <c r="J65" s="111"/>
      <c r="K65" s="118"/>
      <c r="L65" s="112"/>
      <c r="N65" s="69" t="e">
        <f t="shared" si="8"/>
        <v>#DIV/0!</v>
      </c>
      <c r="O65" s="70"/>
      <c r="P65" s="70"/>
      <c r="Q65" s="45"/>
    </row>
    <row r="66" spans="2:17" ht="12.75">
      <c r="B66" s="75" t="s">
        <v>104</v>
      </c>
      <c r="C66" s="191" t="str">
        <f>IF($H$9="m","[kg]","[pounds]")</f>
        <v>[pounds]</v>
      </c>
      <c r="D66" s="203">
        <v>0</v>
      </c>
      <c r="E66" s="110">
        <f>12*D66</f>
        <v>0</v>
      </c>
      <c r="F66" s="77">
        <v>1</v>
      </c>
      <c r="G66" s="76">
        <f>10000/71000*100*E66*IF($H$9="m",1,0.454)</f>
        <v>0</v>
      </c>
      <c r="H66" s="111"/>
      <c r="I66" s="111"/>
      <c r="J66" s="111"/>
      <c r="K66" s="118"/>
      <c r="L66" s="112"/>
      <c r="N66" s="69" t="e">
        <f t="shared" si="8"/>
        <v>#DIV/0!</v>
      </c>
      <c r="O66" s="70"/>
      <c r="P66" s="70"/>
      <c r="Q66" s="45"/>
    </row>
    <row r="67" spans="2:17" ht="13.5" thickBot="1">
      <c r="B67" s="114" t="s">
        <v>105</v>
      </c>
      <c r="C67" s="239" t="s">
        <v>106</v>
      </c>
      <c r="D67" s="205">
        <v>0</v>
      </c>
      <c r="E67" s="120">
        <f>12*D67</f>
        <v>0</v>
      </c>
      <c r="F67" s="88">
        <v>1</v>
      </c>
      <c r="G67" s="87">
        <f>10000/71000*2.5*850*E67</f>
        <v>0</v>
      </c>
      <c r="H67" s="121"/>
      <c r="I67" s="121"/>
      <c r="J67" s="121"/>
      <c r="K67" s="123"/>
      <c r="L67" s="124"/>
      <c r="N67" s="69" t="e">
        <f t="shared" si="8"/>
        <v>#DIV/0!</v>
      </c>
      <c r="O67" s="70"/>
      <c r="P67" s="70"/>
      <c r="Q67" s="45"/>
    </row>
    <row r="68" spans="2:17" ht="13.5" thickBot="1">
      <c r="B68" s="194" t="s">
        <v>107</v>
      </c>
      <c r="C68" s="223"/>
      <c r="D68" s="130"/>
      <c r="E68" s="131"/>
      <c r="F68" s="127">
        <f aca="true" t="shared" si="9" ref="F68:L68">+SUM(F63:F67)</f>
        <v>5</v>
      </c>
      <c r="G68" s="92">
        <f t="shared" si="9"/>
        <v>0</v>
      </c>
      <c r="H68" s="92">
        <f t="shared" si="9"/>
        <v>0</v>
      </c>
      <c r="I68" s="92">
        <f t="shared" si="9"/>
        <v>0</v>
      </c>
      <c r="J68" s="92">
        <f t="shared" si="9"/>
        <v>0</v>
      </c>
      <c r="K68" s="128">
        <f t="shared" si="9"/>
        <v>0</v>
      </c>
      <c r="L68" s="129">
        <f t="shared" si="9"/>
        <v>0</v>
      </c>
      <c r="N68" s="95" t="e">
        <f t="shared" si="8"/>
        <v>#DIV/0!</v>
      </c>
      <c r="O68" s="70"/>
      <c r="P68" s="70"/>
      <c r="Q68" s="45"/>
    </row>
    <row r="69" spans="2:17" ht="14.25" thickBot="1" thickTop="1">
      <c r="B69" s="132"/>
      <c r="C69" s="222"/>
      <c r="D69" s="61"/>
      <c r="E69" s="61"/>
      <c r="F69" s="61"/>
      <c r="G69" s="61"/>
      <c r="H69" s="61"/>
      <c r="I69" s="61"/>
      <c r="J69" s="61"/>
      <c r="K69" s="62"/>
      <c r="L69" s="62"/>
      <c r="N69" s="132"/>
      <c r="O69" s="133"/>
      <c r="P69" s="133"/>
      <c r="Q69" s="62"/>
    </row>
    <row r="70" spans="2:12" ht="13.5" thickTop="1">
      <c r="B70" s="8"/>
      <c r="C70" s="48"/>
      <c r="D70" s="8"/>
      <c r="E70" s="8"/>
      <c r="F70" s="8"/>
      <c r="G70" s="8"/>
      <c r="H70" s="8"/>
      <c r="I70" s="8"/>
      <c r="J70" s="8"/>
      <c r="K70" s="8"/>
      <c r="L70" s="8"/>
    </row>
    <row r="71" spans="2:12" ht="12.75">
      <c r="B71" s="8"/>
      <c r="C71" s="48"/>
      <c r="D71" s="8"/>
      <c r="E71" s="8"/>
      <c r="F71" s="8"/>
      <c r="G71" s="8"/>
      <c r="H71" s="8"/>
      <c r="I71" s="8"/>
      <c r="J71" s="8"/>
      <c r="K71" s="8"/>
      <c r="L71" s="8"/>
    </row>
    <row r="72" ht="12.75"/>
    <row r="73" ht="13.5" thickBot="1"/>
    <row r="74" spans="2:17" ht="24" thickTop="1">
      <c r="B74" s="37"/>
      <c r="C74" s="249" t="s">
        <v>26</v>
      </c>
      <c r="D74" s="233"/>
      <c r="E74" s="2"/>
      <c r="F74" s="2"/>
      <c r="G74" s="2"/>
      <c r="H74" s="38"/>
      <c r="I74" s="38"/>
      <c r="J74" s="64" t="s">
        <v>108</v>
      </c>
      <c r="K74" s="38"/>
      <c r="L74" s="40"/>
      <c r="N74" s="247" t="s">
        <v>28</v>
      </c>
      <c r="O74" s="38"/>
      <c r="P74" s="38"/>
      <c r="Q74" s="40"/>
    </row>
    <row r="75" spans="2:17" ht="15" customHeight="1" thickBot="1">
      <c r="B75" s="46"/>
      <c r="C75" s="217"/>
      <c r="D75" s="42"/>
      <c r="E75" s="42"/>
      <c r="F75" s="42"/>
      <c r="G75" s="42"/>
      <c r="H75" s="8"/>
      <c r="I75" s="8"/>
      <c r="J75" s="8" t="s">
        <v>30</v>
      </c>
      <c r="K75" s="8"/>
      <c r="L75" s="45"/>
      <c r="M75" s="8"/>
      <c r="N75" s="47" t="s">
        <v>31</v>
      </c>
      <c r="O75" s="48" t="s">
        <v>32</v>
      </c>
      <c r="P75" s="48" t="s">
        <v>33</v>
      </c>
      <c r="Q75" s="49" t="s">
        <v>34</v>
      </c>
    </row>
    <row r="76" spans="2:17" ht="13.5" thickTop="1">
      <c r="B76" s="50"/>
      <c r="C76" s="242"/>
      <c r="D76" s="51" t="s">
        <v>35</v>
      </c>
      <c r="E76" s="54" t="s">
        <v>36</v>
      </c>
      <c r="F76" s="52" t="s">
        <v>37</v>
      </c>
      <c r="G76" s="51" t="s">
        <v>38</v>
      </c>
      <c r="H76" s="51" t="s">
        <v>39</v>
      </c>
      <c r="I76" s="51" t="s">
        <v>40</v>
      </c>
      <c r="J76" s="51" t="s">
        <v>41</v>
      </c>
      <c r="K76" s="52" t="s">
        <v>42</v>
      </c>
      <c r="L76" s="52" t="s">
        <v>43</v>
      </c>
      <c r="N76" s="47" t="s">
        <v>44</v>
      </c>
      <c r="O76" s="36"/>
      <c r="P76" s="48" t="s">
        <v>45</v>
      </c>
      <c r="Q76" s="49"/>
    </row>
    <row r="77" spans="2:17" ht="13.5" thickBot="1">
      <c r="B77" s="55" t="s">
        <v>46</v>
      </c>
      <c r="C77" s="243" t="s">
        <v>47</v>
      </c>
      <c r="D77" s="56" t="s">
        <v>48</v>
      </c>
      <c r="E77" s="56" t="s">
        <v>49</v>
      </c>
      <c r="F77" s="58" t="s">
        <v>50</v>
      </c>
      <c r="G77" s="56" t="s">
        <v>51</v>
      </c>
      <c r="H77" s="56" t="s">
        <v>52</v>
      </c>
      <c r="I77" s="56"/>
      <c r="J77" s="56"/>
      <c r="K77" s="58" t="s">
        <v>52</v>
      </c>
      <c r="L77" s="58"/>
      <c r="N77" s="60"/>
      <c r="O77" s="61"/>
      <c r="P77" s="61"/>
      <c r="Q77" s="62"/>
    </row>
    <row r="78" spans="2:17" ht="13.5" thickTop="1">
      <c r="B78" s="63" t="s">
        <v>109</v>
      </c>
      <c r="C78" s="218"/>
      <c r="D78" s="135" t="s">
        <v>63</v>
      </c>
      <c r="E78" s="135"/>
      <c r="F78" s="68"/>
      <c r="G78" s="135"/>
      <c r="H78" s="135"/>
      <c r="I78" s="135"/>
      <c r="J78" s="135"/>
      <c r="K78" s="40"/>
      <c r="L78" s="40"/>
      <c r="N78" s="69"/>
      <c r="O78" s="70"/>
      <c r="P78" s="70"/>
      <c r="Q78" s="45"/>
    </row>
    <row r="79" spans="2:17" ht="12.75">
      <c r="B79" s="41"/>
      <c r="C79" s="48"/>
      <c r="D79" s="101"/>
      <c r="E79" s="101"/>
      <c r="F79" s="136"/>
      <c r="G79" s="101"/>
      <c r="H79" s="101"/>
      <c r="I79" s="101"/>
      <c r="J79" s="101"/>
      <c r="K79" s="44"/>
      <c r="L79" s="45"/>
      <c r="N79" s="69"/>
      <c r="O79" s="70"/>
      <c r="P79" s="70"/>
      <c r="Q79" s="45"/>
    </row>
    <row r="80" spans="2:17" ht="12.75">
      <c r="B80" s="81" t="s">
        <v>110</v>
      </c>
      <c r="C80" s="220"/>
      <c r="D80" s="137"/>
      <c r="E80" s="106"/>
      <c r="F80" s="138"/>
      <c r="G80" s="106"/>
      <c r="H80" s="106"/>
      <c r="I80" s="106"/>
      <c r="J80" s="106"/>
      <c r="K80" s="139"/>
      <c r="L80" s="140"/>
      <c r="N80" s="69"/>
      <c r="O80" s="70"/>
      <c r="P80" s="70"/>
      <c r="Q80" s="45"/>
    </row>
    <row r="81" spans="2:17" ht="12.75">
      <c r="B81" s="75" t="s">
        <v>111</v>
      </c>
      <c r="C81" s="191" t="str">
        <f aca="true" t="shared" si="10" ref="C81:C91">IF($H$9="m","[kg]","[pounds]")</f>
        <v>[pounds]</v>
      </c>
      <c r="D81" s="203">
        <v>0</v>
      </c>
      <c r="E81" s="141">
        <f aca="true" t="shared" si="11" ref="E81:E91">12*D81</f>
        <v>0</v>
      </c>
      <c r="F81" s="142">
        <v>1</v>
      </c>
      <c r="G81" s="113">
        <f>10000/71000*10*E81*IF($H$9="m",1,0.454)</f>
        <v>0</v>
      </c>
      <c r="H81" s="143">
        <f>10000/1000*E81*IF($H$9="m",1,0.454)</f>
        <v>0</v>
      </c>
      <c r="I81" s="111"/>
      <c r="J81" s="111"/>
      <c r="K81" s="118"/>
      <c r="L81" s="112"/>
      <c r="N81" s="69" t="e">
        <f aca="true" t="shared" si="12" ref="N81:N92">+F81*$F$6/60</f>
        <v>#DIV/0!</v>
      </c>
      <c r="O81" s="70"/>
      <c r="P81" s="70"/>
      <c r="Q81" s="45"/>
    </row>
    <row r="82" spans="2:17" ht="12.75">
      <c r="B82" s="75" t="s">
        <v>112</v>
      </c>
      <c r="C82" s="191" t="str">
        <f t="shared" si="10"/>
        <v>[pounds]</v>
      </c>
      <c r="D82" s="203">
        <v>0</v>
      </c>
      <c r="E82" s="141">
        <f t="shared" si="11"/>
        <v>0</v>
      </c>
      <c r="F82" s="142">
        <v>1</v>
      </c>
      <c r="G82" s="76">
        <f>10000/71000*10*E82*IF($H$9="m",1,0.454)</f>
        <v>0</v>
      </c>
      <c r="H82" s="111"/>
      <c r="I82" s="113">
        <f>10000/15*E82*IF($H$9="m",1,0.454)</f>
        <v>0</v>
      </c>
      <c r="J82" s="111"/>
      <c r="K82" s="118"/>
      <c r="L82" s="112"/>
      <c r="N82" s="69" t="e">
        <f t="shared" si="12"/>
        <v>#DIV/0!</v>
      </c>
      <c r="O82" s="70"/>
      <c r="P82" s="70"/>
      <c r="Q82" s="45"/>
    </row>
    <row r="83" spans="2:17" ht="12.75">
      <c r="B83" s="75" t="s">
        <v>113</v>
      </c>
      <c r="C83" s="191" t="str">
        <f t="shared" si="10"/>
        <v>[pounds]</v>
      </c>
      <c r="D83" s="203">
        <v>0</v>
      </c>
      <c r="E83" s="141">
        <f t="shared" si="11"/>
        <v>0</v>
      </c>
      <c r="F83" s="142">
        <v>1</v>
      </c>
      <c r="G83" s="76">
        <f>10000/71000*35/0.8*E83*IF($H$9="m",1,0.454)</f>
        <v>0</v>
      </c>
      <c r="H83" s="111"/>
      <c r="I83" s="111"/>
      <c r="J83" s="111"/>
      <c r="K83" s="118"/>
      <c r="L83" s="112"/>
      <c r="N83" s="69" t="e">
        <f t="shared" si="12"/>
        <v>#DIV/0!</v>
      </c>
      <c r="O83" s="70"/>
      <c r="P83" s="70"/>
      <c r="Q83" s="45"/>
    </row>
    <row r="84" spans="2:17" ht="12.75">
      <c r="B84" s="75" t="s">
        <v>114</v>
      </c>
      <c r="C84" s="191" t="str">
        <f t="shared" si="10"/>
        <v>[pounds]</v>
      </c>
      <c r="D84" s="203">
        <v>0</v>
      </c>
      <c r="E84" s="141">
        <f t="shared" si="11"/>
        <v>0</v>
      </c>
      <c r="F84" s="142">
        <v>1</v>
      </c>
      <c r="G84" s="76">
        <f>10000/71000*30*E84*IF($H$9="m",1,0.454)</f>
        <v>0</v>
      </c>
      <c r="H84" s="111"/>
      <c r="I84" s="111"/>
      <c r="J84" s="113">
        <f>10000/1.99*1.97/1000*E84*IF($H$9="m",1,0.454)</f>
        <v>0</v>
      </c>
      <c r="K84" s="118"/>
      <c r="L84" s="112"/>
      <c r="N84" s="69" t="e">
        <f t="shared" si="12"/>
        <v>#DIV/0!</v>
      </c>
      <c r="O84" s="70"/>
      <c r="P84" s="70"/>
      <c r="Q84" s="45"/>
    </row>
    <row r="85" spans="2:17" ht="12.75">
      <c r="B85" s="75" t="s">
        <v>115</v>
      </c>
      <c r="C85" s="191" t="str">
        <f t="shared" si="10"/>
        <v>[pounds]</v>
      </c>
      <c r="D85" s="203">
        <v>0</v>
      </c>
      <c r="E85" s="141">
        <f t="shared" si="11"/>
        <v>0</v>
      </c>
      <c r="F85" s="142">
        <v>1</v>
      </c>
      <c r="G85" s="76">
        <f>10000/71000*100*E85*IF($H$9="m",1,0.454)</f>
        <v>0</v>
      </c>
      <c r="H85" s="111"/>
      <c r="I85" s="111"/>
      <c r="J85" s="111"/>
      <c r="K85" s="118"/>
      <c r="L85" s="112"/>
      <c r="N85" s="69" t="e">
        <f t="shared" si="12"/>
        <v>#DIV/0!</v>
      </c>
      <c r="O85" s="70"/>
      <c r="P85" s="70"/>
      <c r="Q85" s="45"/>
    </row>
    <row r="86" spans="2:17" ht="12.75">
      <c r="B86" s="75" t="s">
        <v>116</v>
      </c>
      <c r="C86" s="191" t="str">
        <f t="shared" si="10"/>
        <v>[pounds]</v>
      </c>
      <c r="D86" s="203">
        <v>0</v>
      </c>
      <c r="E86" s="141">
        <f t="shared" si="11"/>
        <v>0</v>
      </c>
      <c r="F86" s="142">
        <v>1</v>
      </c>
      <c r="G86" s="76">
        <f>10000/71000*10*E86*IF($H$9="m",1,0.454)</f>
        <v>0</v>
      </c>
      <c r="H86" s="111"/>
      <c r="I86" s="113">
        <f>10000/33*E86*IF($H$9="m",1,0.454)</f>
        <v>0</v>
      </c>
      <c r="J86" s="111"/>
      <c r="K86" s="118"/>
      <c r="L86" s="112"/>
      <c r="N86" s="69" t="e">
        <f t="shared" si="12"/>
        <v>#DIV/0!</v>
      </c>
      <c r="O86" s="70"/>
      <c r="P86" s="70"/>
      <c r="Q86" s="45"/>
    </row>
    <row r="87" spans="2:17" ht="12.75">
      <c r="B87" s="75" t="s">
        <v>117</v>
      </c>
      <c r="C87" s="191" t="str">
        <f t="shared" si="10"/>
        <v>[pounds]</v>
      </c>
      <c r="D87" s="203">
        <v>0</v>
      </c>
      <c r="E87" s="141">
        <f t="shared" si="11"/>
        <v>0</v>
      </c>
      <c r="F87" s="142">
        <v>1</v>
      </c>
      <c r="G87" s="76">
        <f>10000/71000*35/0.8*E87*IF($H$9="m",1,0.454)</f>
        <v>0</v>
      </c>
      <c r="H87" s="111"/>
      <c r="I87" s="111"/>
      <c r="J87" s="111"/>
      <c r="K87" s="118"/>
      <c r="L87" s="112"/>
      <c r="N87" s="69" t="e">
        <f t="shared" si="12"/>
        <v>#DIV/0!</v>
      </c>
      <c r="O87" s="70"/>
      <c r="P87" s="70"/>
      <c r="Q87" s="45"/>
    </row>
    <row r="88" spans="2:17" ht="12.75">
      <c r="B88" s="75" t="s">
        <v>118</v>
      </c>
      <c r="C88" s="191" t="str">
        <f t="shared" si="10"/>
        <v>[pounds]</v>
      </c>
      <c r="D88" s="203">
        <v>0</v>
      </c>
      <c r="E88" s="141">
        <f t="shared" si="11"/>
        <v>0</v>
      </c>
      <c r="F88" s="142">
        <v>1</v>
      </c>
      <c r="G88" s="76">
        <f>10000/71000*20*E88*IF($H$9="m",1,0.454)</f>
        <v>0</v>
      </c>
      <c r="H88" s="111"/>
      <c r="I88" s="111"/>
      <c r="J88" s="111"/>
      <c r="K88" s="118"/>
      <c r="L88" s="112"/>
      <c r="N88" s="69" t="e">
        <f t="shared" si="12"/>
        <v>#DIV/0!</v>
      </c>
      <c r="O88" s="70"/>
      <c r="P88" s="70"/>
      <c r="Q88" s="45"/>
    </row>
    <row r="89" spans="2:17" ht="12.75">
      <c r="B89" s="75" t="s">
        <v>119</v>
      </c>
      <c r="C89" s="191" t="str">
        <f t="shared" si="10"/>
        <v>[pounds]</v>
      </c>
      <c r="D89" s="203">
        <v>0</v>
      </c>
      <c r="E89" s="110">
        <f t="shared" si="11"/>
        <v>0</v>
      </c>
      <c r="F89" s="144">
        <v>1</v>
      </c>
      <c r="G89" s="76">
        <f>10000/71000*200*E89*IF($H$9="m",1,0.454)</f>
        <v>0</v>
      </c>
      <c r="H89" s="111"/>
      <c r="I89" s="111"/>
      <c r="J89" s="111"/>
      <c r="K89" s="118"/>
      <c r="L89" s="112"/>
      <c r="N89" s="69" t="e">
        <f t="shared" si="12"/>
        <v>#DIV/0!</v>
      </c>
      <c r="O89" s="70"/>
      <c r="P89" s="70"/>
      <c r="Q89" s="45"/>
    </row>
    <row r="90" spans="2:17" ht="12.75">
      <c r="B90" s="75" t="s">
        <v>120</v>
      </c>
      <c r="C90" s="191" t="str">
        <f t="shared" si="10"/>
        <v>[pounds]</v>
      </c>
      <c r="D90" s="203">
        <v>0</v>
      </c>
      <c r="E90" s="72">
        <f t="shared" si="11"/>
        <v>0</v>
      </c>
      <c r="F90" s="74">
        <v>1</v>
      </c>
      <c r="G90" s="76">
        <f>10000/71000*35/0.8*E90*IF($H$9="m",1,0.454)</f>
        <v>0</v>
      </c>
      <c r="H90" s="111"/>
      <c r="I90" s="111"/>
      <c r="J90" s="111"/>
      <c r="K90" s="118"/>
      <c r="L90" s="112"/>
      <c r="N90" s="69" t="e">
        <f t="shared" si="12"/>
        <v>#DIV/0!</v>
      </c>
      <c r="O90" s="70"/>
      <c r="P90" s="70"/>
      <c r="Q90" s="45"/>
    </row>
    <row r="91" spans="2:17" ht="13.5" thickBot="1">
      <c r="B91" s="75" t="s">
        <v>121</v>
      </c>
      <c r="C91" s="211" t="str">
        <f t="shared" si="10"/>
        <v>[pounds]</v>
      </c>
      <c r="D91" s="205">
        <v>0</v>
      </c>
      <c r="E91" s="120">
        <f t="shared" si="11"/>
        <v>0</v>
      </c>
      <c r="F91" s="145">
        <v>1</v>
      </c>
      <c r="G91" s="87">
        <f>10000/71000*5*E91*IF($H$9="m",1,0.454)</f>
        <v>0</v>
      </c>
      <c r="H91" s="122">
        <f>10000/1548*E91*IF($H$9="m",1,0.454)</f>
        <v>0</v>
      </c>
      <c r="I91" s="121"/>
      <c r="J91" s="121"/>
      <c r="K91" s="123"/>
      <c r="L91" s="124"/>
      <c r="N91" s="69" t="e">
        <f t="shared" si="12"/>
        <v>#DIV/0!</v>
      </c>
      <c r="O91" s="70"/>
      <c r="P91" s="70"/>
      <c r="Q91" s="45"/>
    </row>
    <row r="92" spans="2:17" ht="13.5" thickBot="1">
      <c r="B92" s="194" t="s">
        <v>122</v>
      </c>
      <c r="C92" s="223"/>
      <c r="D92" s="130"/>
      <c r="E92" s="131"/>
      <c r="F92" s="128">
        <f aca="true" t="shared" si="13" ref="F92:K92">+SUM(F81:F91)</f>
        <v>11</v>
      </c>
      <c r="G92" s="92">
        <f t="shared" si="13"/>
        <v>0</v>
      </c>
      <c r="H92" s="92">
        <f t="shared" si="13"/>
        <v>0</v>
      </c>
      <c r="I92" s="92">
        <f t="shared" si="13"/>
        <v>0</v>
      </c>
      <c r="J92" s="92">
        <f t="shared" si="13"/>
        <v>0</v>
      </c>
      <c r="K92" s="128">
        <f t="shared" si="13"/>
        <v>0</v>
      </c>
      <c r="L92" s="129">
        <f>+SUM(L84:L91)</f>
        <v>0</v>
      </c>
      <c r="N92" s="95" t="e">
        <f t="shared" si="12"/>
        <v>#DIV/0!</v>
      </c>
      <c r="O92" s="70"/>
      <c r="P92" s="70"/>
      <c r="Q92" s="45"/>
    </row>
    <row r="93" spans="2:17" ht="13.5" thickTop="1">
      <c r="B93" s="71" t="s">
        <v>123</v>
      </c>
      <c r="C93" s="165"/>
      <c r="D93" s="245"/>
      <c r="E93" s="101"/>
      <c r="F93" s="136"/>
      <c r="G93" s="101"/>
      <c r="H93" s="101"/>
      <c r="I93" s="101"/>
      <c r="J93" s="101"/>
      <c r="K93" s="44"/>
      <c r="L93" s="45"/>
      <c r="N93" s="69"/>
      <c r="O93" s="70"/>
      <c r="P93" s="70"/>
      <c r="Q93" s="45"/>
    </row>
    <row r="94" spans="2:17" ht="12.75">
      <c r="B94" s="41"/>
      <c r="C94" s="48"/>
      <c r="D94" s="246"/>
      <c r="E94" s="101"/>
      <c r="F94" s="136"/>
      <c r="G94" s="101"/>
      <c r="H94" s="101"/>
      <c r="I94" s="101"/>
      <c r="J94" s="101"/>
      <c r="K94" s="44"/>
      <c r="L94" s="45"/>
      <c r="N94" s="69"/>
      <c r="O94" s="70"/>
      <c r="P94" s="70"/>
      <c r="Q94" s="45"/>
    </row>
    <row r="95" spans="2:17" ht="12.75">
      <c r="B95" s="75" t="s">
        <v>124</v>
      </c>
      <c r="C95" s="191" t="str">
        <f>IF($H$9="m","[kg]","[pounds]")</f>
        <v>[pounds]</v>
      </c>
      <c r="D95" s="203">
        <v>0</v>
      </c>
      <c r="E95" s="141">
        <f>12*D95</f>
        <v>0</v>
      </c>
      <c r="F95" s="142">
        <v>1</v>
      </c>
      <c r="G95" s="76">
        <f>10000/71000*10*E95*IF($H$9="m",1,0.454)</f>
        <v>0</v>
      </c>
      <c r="H95" s="146"/>
      <c r="I95" s="146"/>
      <c r="J95" s="146"/>
      <c r="K95" s="147"/>
      <c r="L95" s="148"/>
      <c r="N95" s="69" t="e">
        <f>+F95*$F$6/60</f>
        <v>#DIV/0!</v>
      </c>
      <c r="O95" s="70"/>
      <c r="P95" s="70"/>
      <c r="Q95" s="45"/>
    </row>
    <row r="96" spans="2:17" ht="12.75">
      <c r="B96" s="81" t="s">
        <v>125</v>
      </c>
      <c r="C96" s="220"/>
      <c r="D96" s="204"/>
      <c r="E96" s="115"/>
      <c r="F96" s="142"/>
      <c r="G96" s="76"/>
      <c r="H96" s="106"/>
      <c r="I96" s="106"/>
      <c r="J96" s="106"/>
      <c r="K96" s="139"/>
      <c r="L96" s="140"/>
      <c r="N96" s="69"/>
      <c r="O96" s="70"/>
      <c r="P96" s="70"/>
      <c r="Q96" s="45"/>
    </row>
    <row r="97" spans="2:17" ht="12.75">
      <c r="B97" s="75" t="s">
        <v>126</v>
      </c>
      <c r="C97" s="191" t="str">
        <f>IF($H$9="m","[kg]","[pounds]")</f>
        <v>[pounds]</v>
      </c>
      <c r="D97" s="203">
        <v>0</v>
      </c>
      <c r="E97" s="141">
        <f aca="true" t="shared" si="14" ref="E97:E103">12*D97</f>
        <v>0</v>
      </c>
      <c r="F97" s="142">
        <v>1</v>
      </c>
      <c r="G97" s="76">
        <f>10000/71000*50*E97*IF($H$9="m",1,0.454)</f>
        <v>0</v>
      </c>
      <c r="H97" s="146"/>
      <c r="I97" s="146"/>
      <c r="J97" s="146"/>
      <c r="K97" s="147"/>
      <c r="L97" s="148"/>
      <c r="N97" s="69" t="e">
        <f aca="true" t="shared" si="15" ref="N97:N104">+F97*$F$6/60</f>
        <v>#DIV/0!</v>
      </c>
      <c r="O97" s="70"/>
      <c r="P97" s="70"/>
      <c r="Q97" s="45"/>
    </row>
    <row r="98" spans="2:17" ht="12.75">
      <c r="B98" s="75" t="s">
        <v>127</v>
      </c>
      <c r="C98" s="191" t="str">
        <f>IF($H$9="m","[kg]","[pounds]")</f>
        <v>[pounds]</v>
      </c>
      <c r="D98" s="203">
        <v>0</v>
      </c>
      <c r="E98" s="141">
        <f t="shared" si="14"/>
        <v>0</v>
      </c>
      <c r="F98" s="142">
        <v>1</v>
      </c>
      <c r="G98" s="76">
        <f>10000/71000*10*E98*IF($H$9="m",1,0.454)</f>
        <v>0</v>
      </c>
      <c r="H98" s="146"/>
      <c r="I98" s="146"/>
      <c r="J98" s="146"/>
      <c r="K98" s="147"/>
      <c r="L98" s="148"/>
      <c r="N98" s="69" t="e">
        <f t="shared" si="15"/>
        <v>#DIV/0!</v>
      </c>
      <c r="O98" s="70"/>
      <c r="P98" s="70"/>
      <c r="Q98" s="45"/>
    </row>
    <row r="99" spans="2:17" ht="12.75">
      <c r="B99" s="75" t="s">
        <v>128</v>
      </c>
      <c r="C99" s="191" t="s">
        <v>129</v>
      </c>
      <c r="D99" s="203">
        <v>0</v>
      </c>
      <c r="E99" s="141">
        <f t="shared" si="14"/>
        <v>0</v>
      </c>
      <c r="F99" s="142">
        <f>+D99</f>
        <v>0</v>
      </c>
      <c r="G99" s="76">
        <f>10000/71000*3.6*0.125*E99</f>
        <v>0</v>
      </c>
      <c r="H99" s="146"/>
      <c r="I99" s="146"/>
      <c r="J99" s="146"/>
      <c r="K99" s="147"/>
      <c r="L99" s="148"/>
      <c r="N99" s="69" t="e">
        <f t="shared" si="15"/>
        <v>#DIV/0!</v>
      </c>
      <c r="O99" s="70"/>
      <c r="P99" s="70"/>
      <c r="Q99" s="45"/>
    </row>
    <row r="100" spans="2:17" ht="12.75">
      <c r="B100" s="75" t="s">
        <v>130</v>
      </c>
      <c r="C100" s="191" t="s">
        <v>129</v>
      </c>
      <c r="D100" s="203">
        <v>0</v>
      </c>
      <c r="E100" s="141">
        <f t="shared" si="14"/>
        <v>0</v>
      </c>
      <c r="F100" s="142">
        <f>+D100</f>
        <v>0</v>
      </c>
      <c r="G100" s="76">
        <f>10000/71000*2*3.6*E100</f>
        <v>0</v>
      </c>
      <c r="H100" s="96"/>
      <c r="I100" s="146"/>
      <c r="J100" s="146"/>
      <c r="K100" s="147"/>
      <c r="L100" s="148"/>
      <c r="N100" s="69" t="e">
        <f t="shared" si="15"/>
        <v>#DIV/0!</v>
      </c>
      <c r="O100" s="70"/>
      <c r="P100" s="70"/>
      <c r="Q100" s="45"/>
    </row>
    <row r="101" spans="2:17" ht="12.75">
      <c r="B101" s="75" t="s">
        <v>131</v>
      </c>
      <c r="C101" s="191" t="s">
        <v>129</v>
      </c>
      <c r="D101" s="203">
        <v>0</v>
      </c>
      <c r="E101" s="141">
        <f t="shared" si="14"/>
        <v>0</v>
      </c>
      <c r="F101" s="142">
        <f>+D101</f>
        <v>0</v>
      </c>
      <c r="G101" s="76">
        <f>10000/71000*0.5*3.6*E101</f>
        <v>0</v>
      </c>
      <c r="H101" s="146"/>
      <c r="I101" s="146"/>
      <c r="J101" s="146"/>
      <c r="K101" s="147"/>
      <c r="L101" s="148"/>
      <c r="N101" s="69" t="e">
        <f t="shared" si="15"/>
        <v>#DIV/0!</v>
      </c>
      <c r="O101" s="70"/>
      <c r="P101" s="70"/>
      <c r="Q101" s="45"/>
    </row>
    <row r="102" spans="2:17" ht="12.75">
      <c r="B102" s="75" t="s">
        <v>132</v>
      </c>
      <c r="C102" s="191" t="s">
        <v>129</v>
      </c>
      <c r="D102" s="203">
        <v>0</v>
      </c>
      <c r="E102" s="141">
        <f t="shared" si="14"/>
        <v>0</v>
      </c>
      <c r="F102" s="142">
        <f>+D102</f>
        <v>0</v>
      </c>
      <c r="G102" s="76">
        <f>10000/71000*2*3.6*E102</f>
        <v>0</v>
      </c>
      <c r="H102" s="146"/>
      <c r="I102" s="146"/>
      <c r="J102" s="146"/>
      <c r="K102" s="147"/>
      <c r="L102" s="148"/>
      <c r="N102" s="69" t="e">
        <f t="shared" si="15"/>
        <v>#DIV/0!</v>
      </c>
      <c r="O102" s="70"/>
      <c r="P102" s="70"/>
      <c r="Q102" s="45"/>
    </row>
    <row r="103" spans="2:17" ht="13.5" thickBot="1">
      <c r="B103" s="75" t="s">
        <v>133</v>
      </c>
      <c r="C103" s="211" t="s">
        <v>129</v>
      </c>
      <c r="D103" s="205">
        <v>0</v>
      </c>
      <c r="E103" s="120">
        <f t="shared" si="14"/>
        <v>0</v>
      </c>
      <c r="F103" s="142">
        <f>+D103</f>
        <v>0</v>
      </c>
      <c r="G103" s="76">
        <f>10000/71000*1*3.6*E103</f>
        <v>0</v>
      </c>
      <c r="H103" s="149"/>
      <c r="I103" s="149"/>
      <c r="J103" s="149"/>
      <c r="K103" s="150"/>
      <c r="L103" s="151"/>
      <c r="N103" s="69" t="e">
        <f t="shared" si="15"/>
        <v>#DIV/0!</v>
      </c>
      <c r="O103" s="70"/>
      <c r="P103" s="70"/>
      <c r="Q103" s="45"/>
    </row>
    <row r="104" spans="2:17" ht="13.5" thickBot="1">
      <c r="B104" s="194" t="s">
        <v>134</v>
      </c>
      <c r="C104" s="223"/>
      <c r="D104" s="125"/>
      <c r="E104" s="126"/>
      <c r="F104" s="152">
        <f aca="true" t="shared" si="16" ref="F104:L104">+SUM(F95:F103)</f>
        <v>3</v>
      </c>
      <c r="G104" s="153">
        <f t="shared" si="16"/>
        <v>0</v>
      </c>
      <c r="H104" s="131">
        <f t="shared" si="16"/>
        <v>0</v>
      </c>
      <c r="I104" s="131">
        <f t="shared" si="16"/>
        <v>0</v>
      </c>
      <c r="J104" s="131">
        <f t="shared" si="16"/>
        <v>0</v>
      </c>
      <c r="K104" s="154">
        <f t="shared" si="16"/>
        <v>0</v>
      </c>
      <c r="L104" s="155">
        <f t="shared" si="16"/>
        <v>0</v>
      </c>
      <c r="N104" s="95" t="e">
        <f t="shared" si="15"/>
        <v>#DIV/0!</v>
      </c>
      <c r="O104" s="70"/>
      <c r="P104" s="70"/>
      <c r="Q104" s="45"/>
    </row>
    <row r="105" spans="2:17" ht="13.5" thickTop="1">
      <c r="B105" s="71" t="s">
        <v>135</v>
      </c>
      <c r="C105" s="165"/>
      <c r="D105" s="101"/>
      <c r="E105" s="101"/>
      <c r="F105" s="96"/>
      <c r="G105" s="64"/>
      <c r="H105" s="64"/>
      <c r="I105" s="64"/>
      <c r="J105" s="64"/>
      <c r="K105" s="234"/>
      <c r="L105" s="45"/>
      <c r="N105" s="41"/>
      <c r="O105" s="70"/>
      <c r="P105" s="70"/>
      <c r="Q105" s="45"/>
    </row>
    <row r="106" spans="2:17" ht="12.75">
      <c r="B106" s="175"/>
      <c r="C106" s="48"/>
      <c r="E106" s="156" t="s">
        <v>136</v>
      </c>
      <c r="F106" s="240">
        <v>80</v>
      </c>
      <c r="G106" s="157" t="s">
        <v>137</v>
      </c>
      <c r="H106" s="235"/>
      <c r="I106" s="235"/>
      <c r="J106" s="235"/>
      <c r="K106" s="236"/>
      <c r="L106" s="45"/>
      <c r="N106" s="69"/>
      <c r="O106" s="70"/>
      <c r="P106" s="70"/>
      <c r="Q106" s="45"/>
    </row>
    <row r="107" spans="2:17" ht="12.75">
      <c r="B107" s="81" t="s">
        <v>138</v>
      </c>
      <c r="C107" s="220"/>
      <c r="D107" s="106"/>
      <c r="E107" s="106"/>
      <c r="F107" s="142" t="s">
        <v>139</v>
      </c>
      <c r="G107" s="106"/>
      <c r="H107" s="106"/>
      <c r="I107" s="106"/>
      <c r="J107" s="106"/>
      <c r="K107" s="139"/>
      <c r="L107" s="140"/>
      <c r="N107" s="69"/>
      <c r="O107" s="70"/>
      <c r="P107" s="70"/>
      <c r="Q107" s="45"/>
    </row>
    <row r="108" spans="2:17" ht="12.75">
      <c r="B108" s="75" t="s">
        <v>140</v>
      </c>
      <c r="C108" s="191" t="str">
        <f>IF($H$9="m","[kg]","[pounds]")</f>
        <v>[pounds]</v>
      </c>
      <c r="D108" s="203">
        <v>0</v>
      </c>
      <c r="E108" s="141">
        <f>12*D108</f>
        <v>0</v>
      </c>
      <c r="F108" s="142">
        <v>-1</v>
      </c>
      <c r="G108" s="76">
        <f>10000/71000*30*E108*(1-F106/100*0.5)*IF($H$9="m",1,0.454)</f>
        <v>0</v>
      </c>
      <c r="H108" s="146"/>
      <c r="I108" s="146"/>
      <c r="J108" s="158">
        <f>10000/1.99*1.97/1000*E108*(1-F106/100*0.8)*IF($H$9="m",1,0.454)</f>
        <v>0</v>
      </c>
      <c r="K108" s="147"/>
      <c r="L108" s="148"/>
      <c r="N108" s="69" t="e">
        <f>+F108*$F$6/60</f>
        <v>#DIV/0!</v>
      </c>
      <c r="O108" s="70"/>
      <c r="P108" s="70"/>
      <c r="Q108" s="45"/>
    </row>
    <row r="109" spans="2:17" ht="12.75">
      <c r="B109" s="75" t="s">
        <v>141</v>
      </c>
      <c r="C109" s="191" t="str">
        <f>IF($H$9="m","[kg]","[pounds]")</f>
        <v>[pounds]</v>
      </c>
      <c r="D109" s="203">
        <v>0</v>
      </c>
      <c r="E109" s="141">
        <f>12*D109</f>
        <v>0</v>
      </c>
      <c r="F109" s="142">
        <v>-1</v>
      </c>
      <c r="G109" s="76">
        <f>10000/71000*150*E109*(1-F$106/100*0.9)*IF($H$9="m",1,0.454)</f>
        <v>0</v>
      </c>
      <c r="H109" s="146"/>
      <c r="I109" s="146"/>
      <c r="J109" s="158"/>
      <c r="K109" s="147"/>
      <c r="L109" s="148"/>
      <c r="N109" s="69"/>
      <c r="O109" s="70"/>
      <c r="P109" s="70"/>
      <c r="Q109" s="45"/>
    </row>
    <row r="110" spans="2:17" ht="12.75">
      <c r="B110" s="75" t="s">
        <v>142</v>
      </c>
      <c r="C110" s="191" t="str">
        <f>IF($H$9="m","[kg]","[pounds]")</f>
        <v>[pounds]</v>
      </c>
      <c r="D110" s="203">
        <v>0</v>
      </c>
      <c r="E110" s="141">
        <f>12*D110</f>
        <v>0</v>
      </c>
      <c r="F110" s="142">
        <v>-1</v>
      </c>
      <c r="G110" s="76">
        <f>10000/71000*60*E110*(1-F$106/100*0.5)*IF($H$9="m",1,0.454)</f>
        <v>0</v>
      </c>
      <c r="H110" s="146"/>
      <c r="I110" s="146"/>
      <c r="J110" s="158"/>
      <c r="K110" s="147"/>
      <c r="L110" s="148"/>
      <c r="N110" s="69"/>
      <c r="O110" s="70"/>
      <c r="P110" s="70"/>
      <c r="Q110" s="45"/>
    </row>
    <row r="111" spans="2:17" ht="12.75">
      <c r="B111" s="75" t="s">
        <v>143</v>
      </c>
      <c r="C111" s="191" t="str">
        <f>IF($H$9="m","[kg]","[pounds]")</f>
        <v>[pounds]</v>
      </c>
      <c r="D111" s="203">
        <v>0</v>
      </c>
      <c r="E111" s="141">
        <f>12*D111</f>
        <v>0</v>
      </c>
      <c r="F111" s="142">
        <v>-1</v>
      </c>
      <c r="G111" s="76">
        <f>10000/71000*15*E111*(1-F$106/100*0.5)*IF($H$9="m",1,0.454)</f>
        <v>0</v>
      </c>
      <c r="H111" s="146"/>
      <c r="I111" s="146"/>
      <c r="J111" s="146"/>
      <c r="K111" s="147"/>
      <c r="L111" s="148"/>
      <c r="N111" s="69" t="e">
        <f>+F111*$F$6/60</f>
        <v>#DIV/0!</v>
      </c>
      <c r="O111" s="70"/>
      <c r="P111" s="70"/>
      <c r="Q111" s="45"/>
    </row>
    <row r="112" spans="2:17" ht="12.75">
      <c r="B112" s="75" t="s">
        <v>144</v>
      </c>
      <c r="C112" s="191" t="str">
        <f>IF($H$9="m","[kg]","[pounds]")</f>
        <v>[pounds]</v>
      </c>
      <c r="D112" s="203">
        <v>0</v>
      </c>
      <c r="E112" s="141">
        <f>12*D112</f>
        <v>0</v>
      </c>
      <c r="F112" s="142">
        <v>-1</v>
      </c>
      <c r="G112" s="76">
        <f>10000/71000*50*E112*(1-F$106/100*0.7)*IF($H$9="m",1,0.454)</f>
        <v>0</v>
      </c>
      <c r="H112" s="146"/>
      <c r="I112" s="146"/>
      <c r="J112" s="146"/>
      <c r="K112" s="147"/>
      <c r="L112" s="148"/>
      <c r="N112" s="69" t="e">
        <f>+F112*$F$6/60</f>
        <v>#DIV/0!</v>
      </c>
      <c r="O112" s="70"/>
      <c r="P112" s="70"/>
      <c r="Q112" s="45"/>
    </row>
    <row r="113" spans="2:17" ht="13.5" thickBot="1">
      <c r="B113" s="237"/>
      <c r="C113" s="224"/>
      <c r="D113" s="119"/>
      <c r="E113" s="120"/>
      <c r="F113" s="145"/>
      <c r="G113" s="149"/>
      <c r="H113" s="149"/>
      <c r="I113" s="149"/>
      <c r="J113" s="149"/>
      <c r="K113" s="150"/>
      <c r="L113" s="151"/>
      <c r="N113" s="69"/>
      <c r="O113" s="70"/>
      <c r="P113" s="70"/>
      <c r="Q113" s="45"/>
    </row>
    <row r="114" spans="2:17" ht="13.5" thickBot="1">
      <c r="B114" s="194" t="s">
        <v>145</v>
      </c>
      <c r="C114" s="223"/>
      <c r="D114" s="130"/>
      <c r="E114" s="159"/>
      <c r="F114" s="152">
        <f>+SUM(F108:F113)</f>
        <v>-5</v>
      </c>
      <c r="G114" s="159">
        <f>+SUM(G108:G113)</f>
        <v>0</v>
      </c>
      <c r="H114" s="159">
        <f>+SUM(H108:H113)</f>
        <v>0</v>
      </c>
      <c r="I114" s="159">
        <f>+SUM(I108:I113)</f>
        <v>0</v>
      </c>
      <c r="J114" s="159">
        <f>+SUM(J108:J113)</f>
        <v>0</v>
      </c>
      <c r="K114" s="154">
        <v>0</v>
      </c>
      <c r="L114" s="155">
        <v>0</v>
      </c>
      <c r="N114" s="95" t="e">
        <f>+F114*$F$6/60</f>
        <v>#DIV/0!</v>
      </c>
      <c r="O114" s="70"/>
      <c r="P114" s="70"/>
      <c r="Q114" s="45"/>
    </row>
    <row r="115" spans="2:17" ht="17.25" thickBot="1" thickTop="1">
      <c r="B115" s="132"/>
      <c r="C115" s="222"/>
      <c r="D115" s="61"/>
      <c r="E115" s="61"/>
      <c r="F115" s="61"/>
      <c r="G115" s="61"/>
      <c r="H115" s="61"/>
      <c r="I115" s="61"/>
      <c r="J115" s="61"/>
      <c r="K115" s="62"/>
      <c r="L115" s="62"/>
      <c r="N115" s="160" t="e">
        <f>+N39+N60+N68+N92+N104+N114</f>
        <v>#DIV/0!</v>
      </c>
      <c r="O115" s="133"/>
      <c r="P115" s="133"/>
      <c r="Q115" s="62"/>
    </row>
    <row r="116" ht="13.5" thickTop="1"/>
    <row r="117" ht="12.75"/>
    <row r="118" ht="13.5" thickBot="1"/>
    <row r="119" spans="2:11" ht="24" thickTop="1">
      <c r="B119" s="161" t="s">
        <v>146</v>
      </c>
      <c r="C119" s="225"/>
      <c r="D119" s="38"/>
      <c r="E119" s="2"/>
      <c r="F119" s="38"/>
      <c r="G119" s="38"/>
      <c r="H119" s="64"/>
      <c r="I119" s="64"/>
      <c r="J119" s="40"/>
      <c r="K119" s="8"/>
    </row>
    <row r="120" spans="2:11" ht="24" thickBot="1">
      <c r="B120" s="162"/>
      <c r="C120" s="48" t="s">
        <v>147</v>
      </c>
      <c r="D120"/>
      <c r="E120" s="42"/>
      <c r="F120" s="163"/>
      <c r="G120" s="8"/>
      <c r="H120" s="8"/>
      <c r="I120" s="8"/>
      <c r="J120" s="45"/>
      <c r="K120" s="8"/>
    </row>
    <row r="121" spans="2:17" ht="16.5" thickTop="1">
      <c r="B121" s="50"/>
      <c r="C121" s="218"/>
      <c r="D121" s="50" t="s">
        <v>38</v>
      </c>
      <c r="E121" s="50" t="s">
        <v>39</v>
      </c>
      <c r="F121" s="50" t="s">
        <v>40</v>
      </c>
      <c r="G121" s="50" t="s">
        <v>41</v>
      </c>
      <c r="H121" s="54" t="s">
        <v>42</v>
      </c>
      <c r="I121" s="52" t="s">
        <v>43</v>
      </c>
      <c r="J121" s="164" t="s">
        <v>148</v>
      </c>
      <c r="K121" s="165"/>
      <c r="L121"/>
      <c r="M121"/>
      <c r="N121"/>
      <c r="O121" s="141" t="s">
        <v>149</v>
      </c>
      <c r="P121" s="166" t="s">
        <v>150</v>
      </c>
      <c r="Q121" s="167" t="s">
        <v>151</v>
      </c>
    </row>
    <row r="122" spans="2:17" ht="13.5" thickBot="1">
      <c r="B122" s="55" t="s">
        <v>46</v>
      </c>
      <c r="C122" s="221"/>
      <c r="D122" s="55" t="s">
        <v>152</v>
      </c>
      <c r="E122" s="56" t="s">
        <v>52</v>
      </c>
      <c r="F122" s="55"/>
      <c r="G122" s="55"/>
      <c r="H122" s="58" t="s">
        <v>52</v>
      </c>
      <c r="I122" s="61"/>
      <c r="J122" s="59"/>
      <c r="K122" s="168"/>
      <c r="L122"/>
      <c r="M122"/>
      <c r="N122"/>
      <c r="O122" s="72"/>
      <c r="P122" s="169" t="s">
        <v>153</v>
      </c>
      <c r="Q122" s="170" t="s">
        <v>154</v>
      </c>
    </row>
    <row r="123" spans="2:17" ht="13.5" thickTop="1">
      <c r="B123" s="41" t="s">
        <v>155</v>
      </c>
      <c r="C123" s="48"/>
      <c r="D123" s="113">
        <f>+G39/$D$13*P123</f>
        <v>0</v>
      </c>
      <c r="E123" s="113">
        <f>+H39/$D$13*P124</f>
        <v>0</v>
      </c>
      <c r="F123" s="113">
        <f>+I39/$D$13*P125</f>
        <v>0</v>
      </c>
      <c r="G123" s="113">
        <f>+J39/$D$13*P126</f>
        <v>0</v>
      </c>
      <c r="H123" s="113">
        <f>+K39/$D$13*P127</f>
        <v>0</v>
      </c>
      <c r="I123" s="113">
        <f>+L39/$D$13*P128</f>
        <v>0</v>
      </c>
      <c r="J123" s="171">
        <f aca="true" t="shared" si="17" ref="J123:J128">+SUM(D123:I123)</f>
        <v>0</v>
      </c>
      <c r="K123" s="8"/>
      <c r="L123"/>
      <c r="M123"/>
      <c r="N123"/>
      <c r="O123" s="141" t="s">
        <v>156</v>
      </c>
      <c r="P123" s="172">
        <v>1.1037394198252317</v>
      </c>
      <c r="Q123" s="167">
        <f>+D129/P123</f>
        <v>0</v>
      </c>
    </row>
    <row r="124" spans="2:17" ht="12.75">
      <c r="B124" s="75" t="s">
        <v>78</v>
      </c>
      <c r="C124" s="191"/>
      <c r="D124" s="113">
        <f>+G60/$D$13*P123</f>
        <v>0</v>
      </c>
      <c r="E124" s="113">
        <f>+H60/$D$13*P124</f>
        <v>0</v>
      </c>
      <c r="F124" s="113">
        <f>+I60/$D$13*P125</f>
        <v>0</v>
      </c>
      <c r="G124" s="113">
        <f>+J60/$D$13*P126</f>
        <v>0</v>
      </c>
      <c r="H124" s="113">
        <f>+K60/$D$13*P127</f>
        <v>0</v>
      </c>
      <c r="I124" s="113">
        <f>+L60/$D$13*P128</f>
        <v>0</v>
      </c>
      <c r="J124" s="173">
        <f t="shared" si="17"/>
        <v>0</v>
      </c>
      <c r="K124" s="8"/>
      <c r="L124"/>
      <c r="M124"/>
      <c r="N124"/>
      <c r="O124" s="72" t="s">
        <v>157</v>
      </c>
      <c r="P124" s="174">
        <v>2.8888375317772126</v>
      </c>
      <c r="Q124" s="170">
        <f>E129/P124</f>
        <v>0</v>
      </c>
    </row>
    <row r="125" spans="2:17" ht="12.75">
      <c r="B125" s="175" t="s">
        <v>158</v>
      </c>
      <c r="C125" s="184"/>
      <c r="D125" s="113">
        <f>+G68/$D$13*P123</f>
        <v>0</v>
      </c>
      <c r="E125" s="113">
        <f>+H68/$D$13*P124</f>
        <v>0</v>
      </c>
      <c r="F125" s="113">
        <f>+I68/$D$13*P125</f>
        <v>0</v>
      </c>
      <c r="G125" s="113">
        <f>+J68/$D$13*P126</f>
        <v>0</v>
      </c>
      <c r="H125" s="113">
        <f>+K68/$D$13*P127</f>
        <v>0</v>
      </c>
      <c r="I125" s="113">
        <f>+L68/$D$13*P128</f>
        <v>0</v>
      </c>
      <c r="J125" s="173">
        <f t="shared" si="17"/>
        <v>0</v>
      </c>
      <c r="K125" s="8"/>
      <c r="L125"/>
      <c r="M125"/>
      <c r="N125"/>
      <c r="O125" s="72" t="s">
        <v>159</v>
      </c>
      <c r="P125" s="174">
        <v>0.5539374437179885</v>
      </c>
      <c r="Q125" s="170">
        <f>F129/P125</f>
        <v>0</v>
      </c>
    </row>
    <row r="126" spans="2:17" ht="12.75">
      <c r="B126" s="175" t="s">
        <v>109</v>
      </c>
      <c r="C126" s="184"/>
      <c r="D126" s="113">
        <f>+G92/$D$13*P123</f>
        <v>0</v>
      </c>
      <c r="E126" s="113">
        <f>+H92/$D$13*P124</f>
        <v>0</v>
      </c>
      <c r="F126" s="176">
        <f>+I92/$D$13*P125</f>
        <v>0</v>
      </c>
      <c r="G126" s="113">
        <f>+J92/$D$13*P126</f>
        <v>0</v>
      </c>
      <c r="H126" s="113">
        <f>+K92/$D$13*P127</f>
        <v>0</v>
      </c>
      <c r="I126" s="113">
        <f>+L92/$D$13*P128</f>
        <v>0</v>
      </c>
      <c r="J126" s="173">
        <f t="shared" si="17"/>
        <v>0</v>
      </c>
      <c r="K126" s="8"/>
      <c r="L126"/>
      <c r="M126"/>
      <c r="N126"/>
      <c r="O126" s="72" t="s">
        <v>160</v>
      </c>
      <c r="P126" s="174">
        <v>1.1037394198252317</v>
      </c>
      <c r="Q126" s="170">
        <f>G129/P126</f>
        <v>0</v>
      </c>
    </row>
    <row r="127" spans="2:17" ht="12.75">
      <c r="B127" s="175" t="s">
        <v>161</v>
      </c>
      <c r="C127" s="184"/>
      <c r="D127" s="113">
        <f>+G104/$D$13*P123</f>
        <v>0</v>
      </c>
      <c r="E127" s="113">
        <f>+H104/$D$13*P124</f>
        <v>0</v>
      </c>
      <c r="F127" s="113">
        <f>+I104/$D$13*P125</f>
        <v>0</v>
      </c>
      <c r="G127" s="113">
        <f>+J104/$D$13*P126</f>
        <v>0</v>
      </c>
      <c r="H127" s="113">
        <f>+K104/$D$13*P127</f>
        <v>0</v>
      </c>
      <c r="I127" s="113">
        <f>+L104/$D$13*P128</f>
        <v>0</v>
      </c>
      <c r="J127" s="173">
        <f t="shared" si="17"/>
        <v>0</v>
      </c>
      <c r="K127" s="8"/>
      <c r="L127"/>
      <c r="M127"/>
      <c r="N127"/>
      <c r="O127" s="72" t="s">
        <v>162</v>
      </c>
      <c r="P127" s="174">
        <v>2.8888375317772126</v>
      </c>
      <c r="Q127" s="170">
        <f>+H129/P127</f>
        <v>0</v>
      </c>
    </row>
    <row r="128" spans="2:17" ht="13.5" thickBot="1">
      <c r="B128" s="132" t="s">
        <v>163</v>
      </c>
      <c r="C128" s="222"/>
      <c r="D128" s="177">
        <f>+G114/$D$13*P123</f>
        <v>0</v>
      </c>
      <c r="E128" s="177">
        <f>+H114/$D$13*P124</f>
        <v>0</v>
      </c>
      <c r="F128" s="177">
        <f>+I114/$D$13*P125</f>
        <v>0</v>
      </c>
      <c r="G128" s="177">
        <f>+J114/$D$13*P126</f>
        <v>0</v>
      </c>
      <c r="H128" s="177">
        <f>+K114/$D$13*P127</f>
        <v>0</v>
      </c>
      <c r="I128" s="177">
        <f>+L114/$D$13*P128</f>
        <v>0</v>
      </c>
      <c r="J128" s="178">
        <f t="shared" si="17"/>
        <v>0</v>
      </c>
      <c r="K128" s="8"/>
      <c r="L128"/>
      <c r="M128"/>
      <c r="N128"/>
      <c r="O128" s="72" t="s">
        <v>164</v>
      </c>
      <c r="P128" s="174">
        <v>0.22234602482298915</v>
      </c>
      <c r="Q128" s="170">
        <f>I129/P128</f>
        <v>0</v>
      </c>
    </row>
    <row r="129" spans="2:17" ht="22.5" customHeight="1" thickBot="1" thickTop="1">
      <c r="B129" s="179" t="s">
        <v>148</v>
      </c>
      <c r="C129" s="180"/>
      <c r="D129" s="181">
        <f aca="true" t="shared" si="18" ref="D129:J129">+SUM(D123:D128)</f>
        <v>0</v>
      </c>
      <c r="E129" s="181">
        <f t="shared" si="18"/>
        <v>0</v>
      </c>
      <c r="F129" s="181">
        <f t="shared" si="18"/>
        <v>0</v>
      </c>
      <c r="G129" s="181">
        <f t="shared" si="18"/>
        <v>0</v>
      </c>
      <c r="H129" s="181">
        <f t="shared" si="18"/>
        <v>0</v>
      </c>
      <c r="I129" s="181">
        <f t="shared" si="18"/>
        <v>0</v>
      </c>
      <c r="J129" s="182">
        <f t="shared" si="18"/>
        <v>0</v>
      </c>
      <c r="K129" s="8"/>
      <c r="L129"/>
      <c r="M129"/>
      <c r="N129"/>
      <c r="O129" s="183" t="s">
        <v>148</v>
      </c>
      <c r="P129" s="184" t="s">
        <v>165</v>
      </c>
      <c r="Q129" s="185">
        <f>SUM(Q123:Q128)</f>
        <v>0</v>
      </c>
    </row>
    <row r="130" spans="2:11" ht="13.5" thickTop="1">
      <c r="B130" s="8"/>
      <c r="C130" s="48"/>
      <c r="D130" s="8"/>
      <c r="E130" s="8"/>
      <c r="F130" s="8"/>
      <c r="G130" s="8"/>
      <c r="H130" s="8"/>
      <c r="I130" s="8"/>
      <c r="J130" s="8"/>
      <c r="K130" s="8"/>
    </row>
    <row r="131" spans="2:6" ht="20.25">
      <c r="B131" s="186" t="s">
        <v>166</v>
      </c>
      <c r="C131" s="226"/>
      <c r="D131" s="187">
        <f>+J129/10000</f>
        <v>0</v>
      </c>
      <c r="E131" s="186" t="s">
        <v>167</v>
      </c>
      <c r="F131"/>
    </row>
    <row r="132" ht="12.75"/>
    <row r="133" spans="2:5" ht="18.75">
      <c r="B133"/>
      <c r="C133" s="228" t="str">
        <f>IF($H$9="m","","This corresponds to")</f>
        <v>This corresponds to</v>
      </c>
      <c r="D133" s="230">
        <f>IF($H$9="m","",D131*2.47)</f>
        <v>0</v>
      </c>
      <c r="E133" s="229" t="str">
        <f>IF($H$9="m","","acres.")</f>
        <v>acres.</v>
      </c>
    </row>
  </sheetData>
  <printOptions horizontalCentered="1" verticalCentered="1"/>
  <pageMargins left="0.7874015748031497" right="0.7874015748031497" top="0.7874015748031497" bottom="0.7874015748031497" header="0.5" footer="0.5"/>
  <pageSetup fitToHeight="2" fitToWidth="1" horizontalDpi="300" verticalDpi="300" orientation="landscape" scale="46" r:id="rId3"/>
  <headerFooter alignWithMargins="0">
    <oddFooter>&amp;CPage &amp;P of &amp;N, &amp;F, Ecological Footprint of Households, Mathis Wackernagel and Dick Richardson,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 Austin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Richardson</dc:creator>
  <cp:keywords/>
  <dc:description/>
  <cp:lastModifiedBy>Richardson</cp:lastModifiedBy>
  <cp:lastPrinted>1998-11-06T16:45:35Z</cp:lastPrinted>
  <dcterms:created xsi:type="dcterms:W3CDTF">1998-11-06T17:34:09Z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